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480" yWindow="75" windowWidth="13260" windowHeight="10365"/>
  </bookViews>
  <sheets>
    <sheet name="Data Entry" sheetId="3" r:id="rId1"/>
    <sheet name="Adjustments" sheetId="5" r:id="rId2"/>
    <sheet name="Variable Bias Supplemental Info" sheetId="4" r:id="rId3"/>
  </sheets>
  <externalReferences>
    <externalReference r:id="rId4"/>
  </externalReferences>
  <calcPr calcId="125725"/>
</workbook>
</file>

<file path=xl/calcChain.xml><?xml version="1.0" encoding="utf-8"?>
<calcChain xmlns="http://schemas.openxmlformats.org/spreadsheetml/2006/main">
  <c r="M32" i="3"/>
  <c r="T6" i="5"/>
  <c r="H6" i="3" s="1"/>
  <c r="T7" i="5"/>
  <c r="H7" i="3" s="1"/>
  <c r="T8" i="5"/>
  <c r="F8" i="3" s="1"/>
  <c r="T9" i="5"/>
  <c r="H9" i="3" s="1"/>
  <c r="T10" i="5"/>
  <c r="H10" i="3" s="1"/>
  <c r="T11" i="5"/>
  <c r="H11" i="3" s="1"/>
  <c r="T12" i="5"/>
  <c r="F12" i="3" s="1"/>
  <c r="T13" i="5"/>
  <c r="H13" i="3" s="1"/>
  <c r="T14" i="5"/>
  <c r="H14" i="3" s="1"/>
  <c r="T15" i="5"/>
  <c r="H15" i="3" s="1"/>
  <c r="T16" i="5"/>
  <c r="F16" i="3" s="1"/>
  <c r="T17" i="5"/>
  <c r="H17" i="3" s="1"/>
  <c r="T18" i="5"/>
  <c r="H18" i="3" s="1"/>
  <c r="T19" i="5"/>
  <c r="H19" i="3" s="1"/>
  <c r="T20" i="5"/>
  <c r="F20" i="3" s="1"/>
  <c r="T21" i="5"/>
  <c r="H21" i="3" s="1"/>
  <c r="T22" i="5"/>
  <c r="H22" i="3" s="1"/>
  <c r="T23" i="5"/>
  <c r="H23" i="3" s="1"/>
  <c r="T24" i="5"/>
  <c r="F24" i="3" s="1"/>
  <c r="T25" i="5"/>
  <c r="H25" i="3" s="1"/>
  <c r="T26" i="5"/>
  <c r="H26" i="3" s="1"/>
  <c r="T27" i="5"/>
  <c r="H27" i="3" s="1"/>
  <c r="T28" i="5"/>
  <c r="F28" i="3" s="1"/>
  <c r="T29" i="5"/>
  <c r="H29" i="3" s="1"/>
  <c r="T30" i="5"/>
  <c r="H30" i="3" s="1"/>
  <c r="T31" i="5"/>
  <c r="H31" i="3" s="1"/>
  <c r="T32" i="5"/>
  <c r="F32" i="3" s="1"/>
  <c r="T33" i="5"/>
  <c r="H33" i="3" s="1"/>
  <c r="T34" i="5"/>
  <c r="H34" i="3" s="1"/>
  <c r="T35" i="5"/>
  <c r="H35" i="3" s="1"/>
  <c r="T36" i="5"/>
  <c r="F36" i="3" s="1"/>
  <c r="T37" i="5"/>
  <c r="H37" i="3" s="1"/>
  <c r="T38" i="5"/>
  <c r="H38" i="3" s="1"/>
  <c r="T39" i="5"/>
  <c r="H39" i="3" s="1"/>
  <c r="T5" i="5"/>
  <c r="F5" i="3" s="1"/>
  <c r="I28"/>
  <c r="I30"/>
  <c r="I31"/>
  <c r="I32"/>
  <c r="I33"/>
  <c r="I34"/>
  <c r="I35"/>
  <c r="I36"/>
  <c r="I37"/>
  <c r="I38"/>
  <c r="I39"/>
  <c r="L24"/>
  <c r="T4" i="5"/>
  <c r="H4" i="3" s="1"/>
  <c r="H5"/>
  <c r="F34"/>
  <c r="A5" i="5"/>
  <c r="B5"/>
  <c r="A6"/>
  <c r="B6"/>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B4"/>
  <c r="A4"/>
  <c r="B3"/>
  <c r="A3"/>
  <c r="A2"/>
  <c r="B1"/>
  <c r="A1"/>
  <c r="H36" i="3" l="1"/>
  <c r="F18"/>
  <c r="I18" s="1"/>
  <c r="H20"/>
  <c r="K20" s="1"/>
  <c r="F26"/>
  <c r="K26" s="1"/>
  <c r="F10"/>
  <c r="I10" s="1"/>
  <c r="H28"/>
  <c r="H12"/>
  <c r="I12" s="1"/>
  <c r="F38"/>
  <c r="F30"/>
  <c r="F22"/>
  <c r="K22" s="1"/>
  <c r="F14"/>
  <c r="I14" s="1"/>
  <c r="F6"/>
  <c r="K6" s="1"/>
  <c r="H32"/>
  <c r="H24"/>
  <c r="I24" s="1"/>
  <c r="H16"/>
  <c r="I16" s="1"/>
  <c r="H8"/>
  <c r="I8" s="1"/>
  <c r="F39"/>
  <c r="F37"/>
  <c r="F35"/>
  <c r="F33"/>
  <c r="F31"/>
  <c r="F29"/>
  <c r="I29" s="1"/>
  <c r="F27"/>
  <c r="I27" s="1"/>
  <c r="F25"/>
  <c r="K25" s="1"/>
  <c r="F23"/>
  <c r="I23" s="1"/>
  <c r="F21"/>
  <c r="I21" s="1"/>
  <c r="F19"/>
  <c r="I19" s="1"/>
  <c r="F17"/>
  <c r="K17" s="1"/>
  <c r="F15"/>
  <c r="I15" s="1"/>
  <c r="F13"/>
  <c r="I13" s="1"/>
  <c r="F11"/>
  <c r="I11" s="1"/>
  <c r="F9"/>
  <c r="K9" s="1"/>
  <c r="F7"/>
  <c r="I7" s="1"/>
  <c r="I26"/>
  <c r="I20"/>
  <c r="I17"/>
  <c r="I5"/>
  <c r="F4"/>
  <c r="K4" s="1"/>
  <c r="K39"/>
  <c r="K38"/>
  <c r="K37"/>
  <c r="K36"/>
  <c r="K35"/>
  <c r="K34"/>
  <c r="K33"/>
  <c r="K32"/>
  <c r="K31"/>
  <c r="K30"/>
  <c r="K28"/>
  <c r="K24"/>
  <c r="K19"/>
  <c r="K5"/>
  <c r="L18"/>
  <c r="M19" s="1"/>
  <c r="L9"/>
  <c r="I46"/>
  <c r="D14" i="4"/>
  <c r="K10" i="3" l="1"/>
  <c r="K8"/>
  <c r="K16"/>
  <c r="K18"/>
  <c r="I6"/>
  <c r="I22"/>
  <c r="K12"/>
  <c r="I9"/>
  <c r="I25"/>
  <c r="K11"/>
  <c r="K14"/>
  <c r="K27"/>
  <c r="K7"/>
  <c r="K15"/>
  <c r="K23"/>
  <c r="K13"/>
  <c r="K21"/>
  <c r="K29"/>
  <c r="I4"/>
  <c r="M34"/>
  <c r="L7"/>
  <c r="M31" s="1"/>
  <c r="L34" l="1"/>
  <c r="L32" s="1"/>
  <c r="L22"/>
</calcChain>
</file>

<file path=xl/sharedStrings.xml><?xml version="1.0" encoding="utf-8"?>
<sst xmlns="http://schemas.openxmlformats.org/spreadsheetml/2006/main" count="227" uniqueCount="150">
  <si>
    <t>Balancing Authority</t>
  </si>
  <si>
    <t>Next Year's Projected Peak</t>
  </si>
  <si>
    <t>Contact Name</t>
  </si>
  <si>
    <t>Contact Phone #</t>
  </si>
  <si>
    <t>Contact e-mail</t>
  </si>
  <si>
    <t>Load</t>
  </si>
  <si>
    <t>Summary Statistics</t>
  </si>
  <si>
    <t>Current Year's Actual Peak</t>
  </si>
  <si>
    <t>Interconnection</t>
  </si>
  <si>
    <t>DelFreq</t>
  </si>
  <si>
    <t xml:space="preserve"> </t>
  </si>
  <si>
    <t xml:space="preserve"> Point "B" Information</t>
  </si>
  <si>
    <t xml:space="preserve"> Point "A" Information</t>
  </si>
  <si>
    <t>Eastern</t>
  </si>
  <si>
    <t>NAI</t>
  </si>
  <si>
    <t>Internal Generating Capacity</t>
  </si>
  <si>
    <t>Bias Calculation Form Year</t>
  </si>
  <si>
    <t>Chris.Scheetz@nerc.net</t>
  </si>
  <si>
    <t>Send copy to:</t>
  </si>
  <si>
    <t>Enter Data in Green Highlighted Cells</t>
  </si>
  <si>
    <t>Date/Time</t>
  </si>
  <si>
    <t>(Central Prevailing)</t>
  </si>
  <si>
    <t>N</t>
  </si>
  <si>
    <t>(MW/0.1Hz)</t>
  </si>
  <si>
    <t>Contingency</t>
  </si>
  <si>
    <t>Month</t>
  </si>
  <si>
    <t>January</t>
  </si>
  <si>
    <t>Feburary</t>
  </si>
  <si>
    <t>March</t>
  </si>
  <si>
    <t>April</t>
  </si>
  <si>
    <t xml:space="preserve">May </t>
  </si>
  <si>
    <t>June</t>
  </si>
  <si>
    <t>July</t>
  </si>
  <si>
    <t>August</t>
  </si>
  <si>
    <t>September</t>
  </si>
  <si>
    <t>October</t>
  </si>
  <si>
    <t>November</t>
  </si>
  <si>
    <t>December</t>
  </si>
  <si>
    <t>Average Annual Bias</t>
  </si>
  <si>
    <t>SEFRD</t>
  </si>
  <si>
    <t>A</t>
  </si>
  <si>
    <t>B</t>
  </si>
  <si>
    <t>C</t>
  </si>
  <si>
    <t>D</t>
  </si>
  <si>
    <t>E</t>
  </si>
  <si>
    <t>F</t>
  </si>
  <si>
    <t>G</t>
  </si>
  <si>
    <t>Current year</t>
  </si>
  <si>
    <t xml:space="preserve">Next Year's </t>
  </si>
  <si>
    <t>MW</t>
  </si>
  <si>
    <t>Modified Heading for Single BA Interconnection</t>
  </si>
  <si>
    <t>BA_1</t>
  </si>
  <si>
    <t>NERC FRS FORM 1</t>
  </si>
  <si>
    <t>H</t>
  </si>
  <si>
    <t>I</t>
  </si>
  <si>
    <t>J</t>
  </si>
  <si>
    <t>K</t>
  </si>
  <si>
    <t xml:space="preserve"> Point "A"</t>
  </si>
  <si>
    <t xml:space="preserve"> Point "B"</t>
  </si>
  <si>
    <t>Information</t>
  </si>
  <si>
    <t>Adjustment</t>
  </si>
  <si>
    <t xml:space="preserve">BA </t>
  </si>
  <si>
    <t>Time</t>
  </si>
  <si>
    <t>BA</t>
  </si>
  <si>
    <t>Exclude for</t>
  </si>
  <si>
    <t>data error *</t>
  </si>
  <si>
    <t>Average Frequency Response (MW/0.1Hz)</t>
  </si>
  <si>
    <t>Regression Estimate of Frequency Response (MW/0.1Hz)</t>
  </si>
  <si>
    <t>JOU DS &amp; NL &amp; TFR</t>
  </si>
  <si>
    <t>NL &amp; PH</t>
  </si>
  <si>
    <t>NL &amp; RU</t>
  </si>
  <si>
    <t>NL &amp; TFR</t>
  </si>
  <si>
    <t>NL &amp; PH &amp; RU</t>
  </si>
  <si>
    <t>NL &amp; PH &amp; TFR</t>
  </si>
  <si>
    <t>NL &amp; PH &amp; BAA</t>
  </si>
  <si>
    <t>NL &amp; PH &amp; RU &amp; TFR</t>
  </si>
  <si>
    <t>PH &amp; RU</t>
  </si>
  <si>
    <t>PH &amp; TFR</t>
  </si>
  <si>
    <t>PH &amp; RU &amp; TFR</t>
  </si>
  <si>
    <t>RU &amp; TFR</t>
  </si>
  <si>
    <t>Point A</t>
  </si>
  <si>
    <t>Point B</t>
  </si>
  <si>
    <t>Non conforming Load</t>
  </si>
  <si>
    <t>Pumped Hydro</t>
  </si>
  <si>
    <t>Transferred Frequency Response</t>
  </si>
  <si>
    <t>Contingent BA Adjustment</t>
  </si>
  <si>
    <t>Sign Convention for data entry</t>
  </si>
  <si>
    <t>Imports: MWs are -
Exports: MWs are +</t>
  </si>
  <si>
    <t>Load MW as -
Generation MW as +</t>
  </si>
  <si>
    <t>Enter Gen MW as +</t>
  </si>
  <si>
    <r>
      <t xml:space="preserve">Generation MW as +
</t>
    </r>
    <r>
      <rPr>
        <b/>
        <sz val="8"/>
        <rFont val="Arial"/>
        <family val="2"/>
      </rPr>
      <t>(If load occurs due to gen loss, enter MW as - at point B)</t>
    </r>
  </si>
  <si>
    <t>JOU 
Dynamic Schedules</t>
  </si>
  <si>
    <t>Ramping 
Units</t>
  </si>
  <si>
    <t>Notes:</t>
  </si>
  <si>
    <t>Y</t>
  </si>
  <si>
    <t>Loads in MW as -</t>
  </si>
  <si>
    <t>Adjustment (MW/0.1Hz)</t>
  </si>
  <si>
    <r>
      <t xml:space="preserve">The transactional amount in 
MW/0.1 Hz Receiver enters - Deliverer enters +
</t>
    </r>
    <r>
      <rPr>
        <b/>
        <sz val="8"/>
        <rFont val="Arial"/>
        <family val="2"/>
      </rPr>
      <t>(The calculation will convert MW/0.1Hz to MW for the observed frequency deviation)</t>
    </r>
  </si>
  <si>
    <t>* Frequency Bias Setting (FBS)</t>
  </si>
  <si>
    <t>Minimum FBS* for month</t>
  </si>
  <si>
    <t>Maximum FBS* for month</t>
  </si>
  <si>
    <t>Enter Addition Data in columns O, P, and Q ==&gt;</t>
  </si>
  <si>
    <t>Dynamic schedules for joint-owned units (DS)</t>
  </si>
  <si>
    <t>Nonconforming load (NL)</t>
  </si>
  <si>
    <t>Pumped hydro (PH)</t>
  </si>
  <si>
    <t>Ramping units (RU)</t>
  </si>
  <si>
    <t>Xfred Frequency Response (TFR)</t>
  </si>
  <si>
    <t>Contingent BA adjustment for loss of units (CBA)</t>
  </si>
  <si>
    <t>DS &amp; NL</t>
  </si>
  <si>
    <t>DS &amp; PH</t>
  </si>
  <si>
    <t>DS &amp; RU</t>
  </si>
  <si>
    <t>DS &amp; TFR</t>
  </si>
  <si>
    <t>DS &amp; CBA</t>
  </si>
  <si>
    <t>DS &amp; NL &amp; PH</t>
  </si>
  <si>
    <t>DS &amp; NL &amp; RU</t>
  </si>
  <si>
    <t>DS &amp; NL &amp; CBA</t>
  </si>
  <si>
    <t>DS &amp; NL &amp; PH &amp; RU</t>
  </si>
  <si>
    <t>DS &amp; NL &amp; PH &amp; TFR</t>
  </si>
  <si>
    <t>DS &amp; NL &amp; PH &amp; CBA</t>
  </si>
  <si>
    <t>DS &amp; NL &amp; PH &amp; RU &amp; TFR</t>
  </si>
  <si>
    <t>DS &amp; NL &amp; PH &amp; RU &amp; CBA</t>
  </si>
  <si>
    <t>DS &amp; NL &amp; PH &amp; RU &amp; TFR &amp; CBA</t>
  </si>
  <si>
    <t>NL &amp; CBA</t>
  </si>
  <si>
    <t>NL &amp; PH &amp; RU &amp; CBA</t>
  </si>
  <si>
    <t>NL &amp; PH &amp; RU &amp; TFR &amp; CBA</t>
  </si>
  <si>
    <t>PH &amp; CBA</t>
  </si>
  <si>
    <t>PH &amp; RU &amp; CBA</t>
  </si>
  <si>
    <t>PH &amp; RU &amp; TFR &amp; CBA</t>
  </si>
  <si>
    <t>RU &amp; CBA</t>
  </si>
  <si>
    <t>RU &amp; TFR &amp; CBA</t>
  </si>
  <si>
    <t>TFR &amp; CBA</t>
  </si>
  <si>
    <t>Reason(s)</t>
  </si>
  <si>
    <t xml:space="preserve"> Select Reason(s) for adjustment</t>
  </si>
  <si>
    <t>Net Total Adjustments</t>
  </si>
  <si>
    <t>1)</t>
  </si>
  <si>
    <t>2)</t>
  </si>
  <si>
    <t>3)</t>
  </si>
  <si>
    <t xml:space="preserve">Nonconforming Loads:
  - Values must be entered as negative numbers.
</t>
  </si>
  <si>
    <t>4)</t>
  </si>
  <si>
    <t xml:space="preserve">Dynamic Schedules: 
  - Values use schedule sign convention. 
  - Adjustments should include only dynamic schedules accounting for joint-owned units. Other dynamic schedules should be ignored.
</t>
  </si>
  <si>
    <t xml:space="preserve">Balancing Authorities making adjustments must retain evidence to verify:
  - Adjustment values are determined from scan-cycle data using Point A and Point B averaging periods. Scan-cycle data must be available if adjustments are made.
  - Adjustment values must be rounded to the nearest MW.
  - Adjustments are necessary to improve accuracy of calculations compared to using Net Actual Interchange (contingency size for single BA interconnections) solely. 
    Said differently, unless an adjustment compensates for significant known error, it should not be made. However, as noted in the next item, once a decision to include an
    adjustment for one or more of the six types is made for one event, the entity must calculate adjustments for that (those) type(s) for all events. 
  - Adjustments are included consistently for all events (e.g. if adjustments for nonconforming load are made for one event, the load must be included for all events, etc.).
</t>
  </si>
  <si>
    <t>5)</t>
  </si>
  <si>
    <t xml:space="preserve">Rampling Units:
 - Values are entered as positive values.
</t>
  </si>
  <si>
    <t xml:space="preserve">Pumped Hydro:
 - Values for pumping must be entered as negative values.
 - Values for generating must be entered as positive values.
</t>
  </si>
  <si>
    <t>6)</t>
  </si>
  <si>
    <t>7)</t>
  </si>
  <si>
    <t xml:space="preserve">Transferred Frequency Response:
 - This value is the amount agreed upon between the entities expressed in MW/0.1 Hz. The spreadsheet will adjust this amount for the frequency deviation experienced.
   (e.g. if an entity agrees to provide 20 MW/0.1 Hz to another entity and a frequency event with a deviation of 50 mHz occurs, the delivering entity should enter +20 in the
   adjustment column and the receiving entity should enter - 20. The spreadsheet will adjust the SEFRD for each entity by the 10 for this event.)
 - Values for the entity receiving the response must be entered as a negative number.
 - Values for the entity delivering the response must be entered as a positive number. 
 - Values between entities must sum to zero.
</t>
  </si>
  <si>
    <t xml:space="preserve">Contingent Balancing Authority Adjustment:
 - Value for Point A is the pre-contingency generation from the contingent unit(s).
 - Value for Point B is usually 0 MW, but may be the load that remains on the system that was "netted" out by the now offline generation.
</t>
  </si>
  <si>
    <t>Time weighted ** average FBS* for month</t>
  </si>
  <si>
    <t xml:space="preserve">** Based on the one minute values used in BAL 001 </t>
  </si>
</sst>
</file>

<file path=xl/styles.xml><?xml version="1.0" encoding="utf-8"?>
<styleSheet xmlns="http://schemas.openxmlformats.org/spreadsheetml/2006/main">
  <numFmts count="5">
    <numFmt numFmtId="164" formatCode="0.000"/>
    <numFmt numFmtId="165" formatCode="0.0"/>
    <numFmt numFmtId="166" formatCode="m/d/yy\ h:mm:ss"/>
    <numFmt numFmtId="167" formatCode="m\-d\-yy\ h:mm:ss"/>
    <numFmt numFmtId="168" formatCode="h:mm:ss;@"/>
  </numFmts>
  <fonts count="19">
    <font>
      <sz val="10"/>
      <name val="Arial"/>
    </font>
    <font>
      <sz val="10"/>
      <name val="Arial"/>
      <family val="2"/>
    </font>
    <font>
      <sz val="8"/>
      <name val="Arial"/>
      <family val="2"/>
    </font>
    <font>
      <b/>
      <sz val="10"/>
      <name val="Arial"/>
      <family val="2"/>
    </font>
    <font>
      <sz val="10"/>
      <name val="Arial"/>
      <family val="2"/>
    </font>
    <font>
      <u/>
      <sz val="10"/>
      <color indexed="12"/>
      <name val="Arial"/>
      <family val="2"/>
    </font>
    <font>
      <b/>
      <sz val="12"/>
      <name val="Arial"/>
      <family val="2"/>
    </font>
    <font>
      <sz val="12"/>
      <name val="Times New Roman"/>
      <family val="1"/>
    </font>
    <font>
      <b/>
      <sz val="16"/>
      <name val="Cambria"/>
      <family val="1"/>
      <scheme val="major"/>
    </font>
    <font>
      <b/>
      <sz val="20"/>
      <name val="Cambria"/>
      <family val="1"/>
      <scheme val="major"/>
    </font>
    <font>
      <b/>
      <sz val="11"/>
      <name val="Arial"/>
      <family val="2"/>
    </font>
    <font>
      <b/>
      <sz val="16"/>
      <name val="Arial"/>
      <family val="2"/>
    </font>
    <font>
      <b/>
      <sz val="8"/>
      <name val="Arial"/>
      <family val="2"/>
    </font>
    <font>
      <b/>
      <sz val="14"/>
      <name val="Cambria"/>
      <family val="1"/>
      <scheme val="major"/>
    </font>
    <font>
      <b/>
      <sz val="12"/>
      <name val="Cambria"/>
      <family val="1"/>
      <scheme val="major"/>
    </font>
    <font>
      <b/>
      <sz val="11"/>
      <name val="Cambria"/>
      <family val="1"/>
      <scheme val="major"/>
    </font>
    <font>
      <sz val="10"/>
      <name val="Cambria"/>
      <family val="1"/>
      <scheme val="major"/>
    </font>
    <font>
      <sz val="12"/>
      <name val="Cambria"/>
      <family val="1"/>
      <scheme val="major"/>
    </font>
    <font>
      <sz val="12"/>
      <name val="Arial"/>
      <family val="2"/>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rgb="FF99FF99"/>
        <bgColor indexed="64"/>
      </patternFill>
    </fill>
    <fill>
      <patternFill patternType="solid">
        <fgColor theme="9" tint="0.79998168889431442"/>
        <bgColor indexed="64"/>
      </patternFill>
    </fill>
    <fill>
      <patternFill patternType="solid">
        <fgColor theme="6" tint="0.39997558519241921"/>
        <bgColor indexed="64"/>
      </patternFill>
    </fill>
  </fills>
  <borders count="1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18">
    <xf numFmtId="0" fontId="0" fillId="0" borderId="0" xfId="0"/>
    <xf numFmtId="0" fontId="0" fillId="0" borderId="0" xfId="0" applyAlignment="1">
      <alignment horizontal="center"/>
    </xf>
    <xf numFmtId="164" fontId="0" fillId="0" borderId="0" xfId="0" applyNumberFormat="1" applyAlignment="1">
      <alignment horizontal="center"/>
    </xf>
    <xf numFmtId="0" fontId="3" fillId="0" borderId="0" xfId="0" applyFont="1"/>
    <xf numFmtId="0" fontId="3" fillId="0" borderId="1" xfId="0" applyFont="1" applyBorder="1" applyAlignment="1">
      <alignment horizontal="left"/>
    </xf>
    <xf numFmtId="165" fontId="0" fillId="0" borderId="0" xfId="0" applyNumberForma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3" fillId="0" borderId="0" xfId="0" applyFont="1" applyBorder="1" applyAlignment="1">
      <alignment horizontal="center"/>
    </xf>
    <xf numFmtId="0" fontId="0" fillId="0" borderId="0" xfId="0" applyBorder="1"/>
    <xf numFmtId="9" fontId="0" fillId="0" borderId="0" xfId="0" applyNumberFormat="1" applyAlignment="1">
      <alignment horizontal="center"/>
    </xf>
    <xf numFmtId="0" fontId="3" fillId="2" borderId="0" xfId="0" applyFont="1" applyFill="1"/>
    <xf numFmtId="0" fontId="0" fillId="2" borderId="0" xfId="0" applyFill="1"/>
    <xf numFmtId="0" fontId="3" fillId="2" borderId="0" xfId="0" applyFont="1" applyFill="1" applyBorder="1"/>
    <xf numFmtId="166" fontId="3" fillId="0" borderId="0" xfId="0" applyNumberFormat="1" applyFont="1" applyFill="1" applyAlignment="1">
      <alignment horizontal="center"/>
    </xf>
    <xf numFmtId="166" fontId="0" fillId="0" borderId="0" xfId="0" applyNumberFormat="1" applyFill="1" applyAlignment="1">
      <alignment horizontal="center"/>
    </xf>
    <xf numFmtId="164" fontId="3" fillId="0" borderId="0" xfId="0" applyNumberFormat="1" applyFont="1" applyAlignment="1">
      <alignment horizontal="center"/>
    </xf>
    <xf numFmtId="0" fontId="5" fillId="2" borderId="0" xfId="1" applyFill="1" applyBorder="1" applyAlignment="1" applyProtection="1"/>
    <xf numFmtId="22" fontId="4" fillId="0" borderId="6" xfId="0" applyNumberFormat="1" applyFont="1" applyBorder="1"/>
    <xf numFmtId="22" fontId="4" fillId="3" borderId="6" xfId="0" applyNumberFormat="1" applyFont="1" applyFill="1" applyBorder="1"/>
    <xf numFmtId="167" fontId="4" fillId="3" borderId="6" xfId="0" applyNumberFormat="1" applyFont="1" applyFill="1" applyBorder="1"/>
    <xf numFmtId="167" fontId="4" fillId="0" borderId="6" xfId="0" applyNumberFormat="1" applyFont="1" applyBorder="1"/>
    <xf numFmtId="167" fontId="4" fillId="0" borderId="6" xfId="0" applyNumberFormat="1" applyFont="1" applyFill="1" applyBorder="1"/>
    <xf numFmtId="0" fontId="4" fillId="0" borderId="0" xfId="0" applyFont="1"/>
    <xf numFmtId="164" fontId="0" fillId="3" borderId="0" xfId="0" applyNumberFormat="1" applyFill="1" applyAlignment="1">
      <alignment horizontal="center"/>
    </xf>
    <xf numFmtId="165" fontId="3" fillId="5" borderId="1" xfId="0" applyNumberFormat="1" applyFont="1" applyFill="1" applyBorder="1" applyAlignment="1">
      <alignment horizontal="center"/>
    </xf>
    <xf numFmtId="165" fontId="3" fillId="5" borderId="9" xfId="0" applyNumberFormat="1" applyFont="1" applyFill="1" applyBorder="1" applyAlignment="1">
      <alignment horizontal="center"/>
    </xf>
    <xf numFmtId="0" fontId="0" fillId="0" borderId="1" xfId="0" applyBorder="1"/>
    <xf numFmtId="166" fontId="3" fillId="0" borderId="3" xfId="0" applyNumberFormat="1" applyFont="1" applyFill="1" applyBorder="1" applyAlignment="1">
      <alignment horizontal="center"/>
    </xf>
    <xf numFmtId="166" fontId="4" fillId="0" borderId="12" xfId="0" applyNumberFormat="1" applyFont="1" applyFill="1" applyBorder="1" applyAlignment="1">
      <alignment horizontal="center"/>
    </xf>
    <xf numFmtId="0" fontId="1" fillId="0" borderId="0" xfId="0" applyFont="1"/>
    <xf numFmtId="165" fontId="0" fillId="0" borderId="0" xfId="0" applyNumberFormat="1"/>
    <xf numFmtId="165" fontId="4" fillId="0" borderId="12" xfId="0" applyNumberFormat="1" applyFont="1" applyBorder="1" applyAlignment="1">
      <alignment horizontal="center"/>
    </xf>
    <xf numFmtId="165" fontId="0" fillId="0" borderId="5" xfId="0" applyNumberFormat="1" applyBorder="1"/>
    <xf numFmtId="165" fontId="3" fillId="0" borderId="0" xfId="0" applyNumberFormat="1" applyFont="1" applyBorder="1" applyAlignment="1">
      <alignment horizontal="center"/>
    </xf>
    <xf numFmtId="165" fontId="3" fillId="0" borderId="5" xfId="0" applyNumberFormat="1" applyFont="1" applyBorder="1" applyAlignment="1">
      <alignment horizontal="center"/>
    </xf>
    <xf numFmtId="166" fontId="6" fillId="0" borderId="0" xfId="0" applyNumberFormat="1" applyFont="1" applyFill="1" applyAlignment="1">
      <alignment horizontal="center" vertical="center"/>
    </xf>
    <xf numFmtId="22" fontId="0" fillId="0" borderId="0" xfId="0" applyNumberFormat="1"/>
    <xf numFmtId="166" fontId="6" fillId="6" borderId="0" xfId="0" applyNumberFormat="1" applyFont="1" applyFill="1" applyAlignment="1">
      <alignment horizontal="center" vertical="center"/>
    </xf>
    <xf numFmtId="166" fontId="0" fillId="0" borderId="0" xfId="0" applyNumberFormat="1" applyAlignment="1">
      <alignment horizontal="center"/>
    </xf>
    <xf numFmtId="165" fontId="3" fillId="7" borderId="0" xfId="0" applyNumberFormat="1" applyFont="1" applyFill="1"/>
    <xf numFmtId="165" fontId="0" fillId="7" borderId="0" xfId="0" applyNumberFormat="1" applyFill="1"/>
    <xf numFmtId="0" fontId="0" fillId="0" borderId="0" xfId="0" applyNumberFormat="1"/>
    <xf numFmtId="165" fontId="1" fillId="0" borderId="12" xfId="0" applyNumberFormat="1" applyFont="1" applyBorder="1" applyAlignment="1">
      <alignment horizontal="center"/>
    </xf>
    <xf numFmtId="0" fontId="3" fillId="5" borderId="2" xfId="0" applyFont="1" applyFill="1" applyBorder="1" applyAlignment="1">
      <alignment wrapText="1"/>
    </xf>
    <xf numFmtId="165" fontId="3" fillId="5" borderId="3" xfId="0" applyNumberFormat="1" applyFont="1" applyFill="1" applyBorder="1" applyAlignment="1">
      <alignment horizontal="center"/>
    </xf>
    <xf numFmtId="0" fontId="3" fillId="5" borderId="4" xfId="0" applyFont="1" applyFill="1" applyBorder="1" applyAlignment="1">
      <alignment wrapText="1"/>
    </xf>
    <xf numFmtId="0" fontId="3" fillId="5" borderId="11" xfId="0" applyFont="1" applyFill="1" applyBorder="1" applyAlignment="1">
      <alignment wrapText="1"/>
    </xf>
    <xf numFmtId="0" fontId="0" fillId="0" borderId="0" xfId="0" applyNumberFormat="1" applyBorder="1"/>
    <xf numFmtId="0" fontId="3" fillId="0" borderId="7" xfId="0" applyFont="1" applyBorder="1" applyAlignment="1">
      <alignment horizontal="left"/>
    </xf>
    <xf numFmtId="0" fontId="3" fillId="0" borderId="9" xfId="0" applyFont="1" applyBorder="1" applyAlignment="1">
      <alignment horizontal="center"/>
    </xf>
    <xf numFmtId="0" fontId="3" fillId="0" borderId="13" xfId="0" applyFont="1" applyBorder="1" applyAlignment="1">
      <alignment horizontal="center"/>
    </xf>
    <xf numFmtId="0" fontId="3" fillId="0" borderId="7" xfId="0" applyFont="1" applyBorder="1" applyAlignment="1">
      <alignment horizontal="center"/>
    </xf>
    <xf numFmtId="0" fontId="3" fillId="0" borderId="11" xfId="0" applyFont="1" applyBorder="1" applyAlignment="1">
      <alignment horizontal="center"/>
    </xf>
    <xf numFmtId="0" fontId="7" fillId="0" borderId="0" xfId="0" applyFont="1" applyAlignment="1">
      <alignment horizontal="left" vertical="top"/>
    </xf>
    <xf numFmtId="0" fontId="7" fillId="0" borderId="0" xfId="0" applyFont="1" applyAlignment="1">
      <alignment horizontal="left" vertical="top" wrapText="1"/>
    </xf>
    <xf numFmtId="165" fontId="0" fillId="0" borderId="8" xfId="0" applyNumberFormat="1" applyBorder="1" applyAlignment="1">
      <alignment horizontal="center"/>
    </xf>
    <xf numFmtId="164" fontId="1" fillId="0" borderId="0" xfId="0" applyNumberFormat="1" applyFont="1"/>
    <xf numFmtId="0" fontId="7" fillId="0" borderId="0" xfId="0" applyFont="1" applyAlignment="1" applyProtection="1">
      <alignment horizontal="left" vertical="top"/>
      <protection hidden="1"/>
    </xf>
    <xf numFmtId="0" fontId="7" fillId="0" borderId="0" xfId="0" applyFont="1" applyAlignment="1" applyProtection="1">
      <alignment horizontal="left" vertical="top" wrapText="1"/>
      <protection hidden="1"/>
    </xf>
    <xf numFmtId="168" fontId="0" fillId="4" borderId="7" xfId="0" applyNumberFormat="1" applyFill="1" applyBorder="1" applyAlignment="1" applyProtection="1">
      <alignment horizontal="center"/>
      <protection locked="0"/>
    </xf>
    <xf numFmtId="164" fontId="0" fillId="4" borderId="7" xfId="0" applyNumberFormat="1" applyFill="1" applyBorder="1" applyAlignment="1" applyProtection="1">
      <alignment horizontal="center"/>
      <protection locked="0"/>
    </xf>
    <xf numFmtId="165" fontId="0" fillId="4" borderId="7" xfId="0" applyNumberFormat="1" applyFill="1" applyBorder="1" applyAlignment="1" applyProtection="1">
      <alignment horizontal="center"/>
      <protection locked="0"/>
    </xf>
    <xf numFmtId="165" fontId="0" fillId="4" borderId="1" xfId="0" applyNumberFormat="1" applyFill="1" applyBorder="1" applyAlignment="1" applyProtection="1">
      <alignment horizontal="center"/>
      <protection locked="0"/>
    </xf>
    <xf numFmtId="165" fontId="0" fillId="4" borderId="8" xfId="0" applyNumberFormat="1" applyFill="1" applyBorder="1" applyAlignment="1" applyProtection="1">
      <alignment horizontal="center"/>
      <protection locked="0"/>
    </xf>
    <xf numFmtId="168" fontId="0" fillId="4" borderId="8" xfId="0" applyNumberFormat="1" applyFill="1" applyBorder="1" applyAlignment="1" applyProtection="1">
      <alignment horizontal="center"/>
      <protection locked="0"/>
    </xf>
    <xf numFmtId="164" fontId="0" fillId="4" borderId="8" xfId="0" applyNumberFormat="1" applyFill="1" applyBorder="1" applyAlignment="1" applyProtection="1">
      <alignment horizontal="center"/>
      <protection locked="0"/>
    </xf>
    <xf numFmtId="165" fontId="0" fillId="4" borderId="4" xfId="0" applyNumberFormat="1" applyFill="1" applyBorder="1" applyAlignment="1" applyProtection="1">
      <alignment horizontal="center"/>
      <protection locked="0"/>
    </xf>
    <xf numFmtId="0" fontId="0" fillId="4" borderId="0" xfId="0" applyFill="1" applyAlignment="1" applyProtection="1">
      <alignment horizontal="center"/>
      <protection locked="0"/>
    </xf>
    <xf numFmtId="0" fontId="5" fillId="4" borderId="0" xfId="1" applyFill="1" applyAlignment="1" applyProtection="1">
      <alignment horizontal="center"/>
      <protection locked="0"/>
    </xf>
    <xf numFmtId="165" fontId="0" fillId="4" borderId="0" xfId="0" applyNumberFormat="1" applyFill="1" applyBorder="1" applyAlignment="1" applyProtection="1">
      <alignment horizontal="center"/>
      <protection locked="0"/>
    </xf>
    <xf numFmtId="165" fontId="0" fillId="4" borderId="10" xfId="0" applyNumberFormat="1" applyFill="1" applyBorder="1" applyAlignment="1" applyProtection="1">
      <alignment horizontal="center"/>
      <protection locked="0"/>
    </xf>
    <xf numFmtId="22" fontId="4" fillId="0" borderId="14" xfId="0" applyNumberFormat="1" applyFont="1" applyBorder="1"/>
    <xf numFmtId="166" fontId="3" fillId="0" borderId="10" xfId="0" applyNumberFormat="1" applyFont="1" applyFill="1" applyBorder="1" applyAlignment="1">
      <alignment horizontal="center"/>
    </xf>
    <xf numFmtId="164" fontId="3" fillId="0" borderId="10" xfId="0" applyNumberFormat="1" applyFont="1" applyBorder="1" applyAlignment="1">
      <alignment horizontal="center"/>
    </xf>
    <xf numFmtId="166" fontId="3" fillId="0" borderId="5" xfId="0" applyNumberFormat="1" applyFont="1" applyFill="1" applyBorder="1" applyAlignment="1">
      <alignment horizontal="center"/>
    </xf>
    <xf numFmtId="164" fontId="3" fillId="0" borderId="5" xfId="0" applyNumberFormat="1" applyFont="1" applyBorder="1" applyAlignment="1">
      <alignment horizontal="center"/>
    </xf>
    <xf numFmtId="165" fontId="0" fillId="8" borderId="8" xfId="0" applyNumberFormat="1" applyFill="1" applyBorder="1" applyAlignment="1" applyProtection="1">
      <alignment horizontal="center"/>
      <protection locked="0"/>
    </xf>
    <xf numFmtId="0" fontId="0" fillId="0" borderId="0" xfId="0" applyAlignment="1">
      <alignment vertical="center"/>
    </xf>
    <xf numFmtId="0" fontId="11" fillId="0" borderId="9" xfId="0" applyFont="1" applyBorder="1" applyAlignment="1">
      <alignment horizontal="center" wrapText="1"/>
    </xf>
    <xf numFmtId="0" fontId="10" fillId="0" borderId="0" xfId="0" applyFont="1" applyAlignment="1">
      <alignment horizontal="center" vertical="center" wrapText="1"/>
    </xf>
    <xf numFmtId="165" fontId="0" fillId="0" borderId="8" xfId="0" applyNumberFormat="1" applyFill="1" applyBorder="1" applyAlignment="1" applyProtection="1">
      <alignment horizontal="center"/>
    </xf>
    <xf numFmtId="165" fontId="0" fillId="0" borderId="1" xfId="0" applyNumberFormat="1" applyFill="1" applyBorder="1" applyAlignment="1" applyProtection="1">
      <alignment horizontal="center"/>
    </xf>
    <xf numFmtId="0" fontId="3" fillId="0" borderId="0" xfId="0" applyFont="1" applyAlignment="1">
      <alignment vertical="center"/>
    </xf>
    <xf numFmtId="0" fontId="7" fillId="0" borderId="0" xfId="0" applyFont="1" applyAlignment="1" applyProtection="1">
      <alignment horizontal="left" vertical="top"/>
    </xf>
    <xf numFmtId="0" fontId="0" fillId="0" borderId="0" xfId="0" applyProtection="1"/>
    <xf numFmtId="0" fontId="7" fillId="0" borderId="0" xfId="0" applyFont="1" applyAlignment="1" applyProtection="1">
      <alignment horizontal="left" vertical="top" wrapText="1"/>
    </xf>
    <xf numFmtId="0" fontId="7" fillId="0" borderId="0" xfId="0" applyFont="1" applyFill="1" applyAlignment="1" applyProtection="1">
      <alignment vertical="top" wrapText="1"/>
      <protection hidden="1"/>
    </xf>
    <xf numFmtId="0" fontId="7" fillId="0" borderId="0" xfId="0" applyFont="1" applyFill="1" applyAlignment="1" applyProtection="1">
      <alignment vertical="top" wrapText="1"/>
      <protection hidden="1"/>
    </xf>
    <xf numFmtId="0" fontId="8" fillId="0" borderId="0" xfId="0" applyFont="1" applyAlignment="1">
      <alignment horizontal="center"/>
    </xf>
    <xf numFmtId="0" fontId="1" fillId="0" borderId="0" xfId="0" applyFont="1" applyProtection="1"/>
    <xf numFmtId="0" fontId="11" fillId="0" borderId="9" xfId="0" applyFont="1" applyBorder="1" applyAlignment="1" applyProtection="1">
      <alignment horizontal="center" wrapText="1"/>
    </xf>
    <xf numFmtId="165" fontId="0" fillId="5" borderId="8" xfId="0" applyNumberFormat="1" applyFill="1" applyBorder="1" applyAlignment="1" applyProtection="1">
      <alignment horizontal="center"/>
    </xf>
    <xf numFmtId="0" fontId="13" fillId="0" borderId="0" xfId="0" applyFont="1"/>
    <xf numFmtId="0" fontId="14" fillId="0" borderId="0" xfId="0" applyFont="1"/>
    <xf numFmtId="0" fontId="15" fillId="0" borderId="0" xfId="0" applyFont="1"/>
    <xf numFmtId="0" fontId="16" fillId="0" borderId="0" xfId="0" applyFont="1" applyAlignment="1">
      <alignment horizontal="right" vertical="top"/>
    </xf>
    <xf numFmtId="0" fontId="17" fillId="0" borderId="0" xfId="0" applyFont="1"/>
    <xf numFmtId="0" fontId="14" fillId="0" borderId="0" xfId="0" applyFont="1" applyAlignment="1">
      <alignment horizontal="center" wrapText="1"/>
    </xf>
    <xf numFmtId="0" fontId="18" fillId="6" borderId="0" xfId="0" applyFont="1" applyFill="1" applyProtection="1">
      <protection locked="0"/>
    </xf>
    <xf numFmtId="165" fontId="18" fillId="6" borderId="0" xfId="0" applyNumberFormat="1" applyFont="1" applyFill="1" applyAlignment="1" applyProtection="1">
      <alignment horizontal="center"/>
      <protection locked="0"/>
    </xf>
    <xf numFmtId="0" fontId="18" fillId="0" borderId="0" xfId="0" applyFont="1"/>
    <xf numFmtId="165" fontId="18" fillId="0" borderId="0" xfId="0" applyNumberFormat="1" applyFont="1" applyAlignment="1">
      <alignment horizontal="center"/>
    </xf>
    <xf numFmtId="0" fontId="7" fillId="0" borderId="0" xfId="0" applyFont="1" applyFill="1" applyAlignment="1" applyProtection="1">
      <alignment vertical="top"/>
      <protection hidden="1"/>
    </xf>
    <xf numFmtId="0" fontId="3" fillId="0" borderId="10" xfId="0" applyFont="1" applyBorder="1" applyAlignment="1">
      <alignment horizontal="center"/>
    </xf>
    <xf numFmtId="0" fontId="0" fillId="0" borderId="10" xfId="0" applyBorder="1" applyAlignment="1">
      <alignment horizontal="center"/>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1" fillId="0" borderId="0" xfId="0" applyFont="1" applyAlignment="1">
      <alignment wrapText="1"/>
    </xf>
    <xf numFmtId="0" fontId="11" fillId="0" borderId="9" xfId="0" applyFont="1" applyBorder="1" applyAlignment="1">
      <alignment horizontal="center" wrapText="1"/>
    </xf>
    <xf numFmtId="0" fontId="11" fillId="0" borderId="11" xfId="0" applyFont="1" applyBorder="1" applyAlignment="1">
      <alignment horizontal="center" wrapText="1"/>
    </xf>
    <xf numFmtId="0" fontId="10" fillId="0" borderId="0" xfId="0" applyFont="1" applyAlignment="1">
      <alignment horizontal="center" vertical="center" wrapText="1"/>
    </xf>
    <xf numFmtId="166" fontId="13" fillId="0" borderId="0" xfId="0" applyNumberFormat="1" applyFont="1" applyFill="1" applyAlignment="1">
      <alignment horizontal="left" vertical="center" wrapText="1"/>
    </xf>
    <xf numFmtId="0" fontId="0" fillId="0" borderId="7" xfId="0" applyBorder="1"/>
    <xf numFmtId="0" fontId="0" fillId="0" borderId="13" xfId="0" applyBorder="1"/>
    <xf numFmtId="0" fontId="0" fillId="0" borderId="7" xfId="0" applyBorder="1" applyProtection="1"/>
    <xf numFmtId="0" fontId="0" fillId="0" borderId="13" xfId="0" applyBorder="1" applyProtection="1"/>
  </cellXfs>
  <cellStyles count="2">
    <cellStyle name="Hyperlink" xfId="1" builtinId="8"/>
    <cellStyle name="Normal" xfId="0" builtinId="0"/>
  </cellStyles>
  <dxfs count="4">
    <dxf>
      <fill>
        <patternFill>
          <bgColor theme="5" tint="0.59996337778862885"/>
        </patternFill>
      </fill>
    </dxf>
    <dxf>
      <fill>
        <patternFill patternType="solid">
          <bgColor theme="0"/>
        </patternFill>
      </fill>
    </dxf>
    <dxf>
      <fill>
        <patternFill>
          <bgColor rgb="FF99FFCC"/>
        </patternFill>
      </fill>
    </dxf>
    <dxf>
      <fill>
        <patternFill>
          <bgColor rgb="FFFFFF00"/>
        </patternFill>
      </fill>
    </dxf>
  </dxfs>
  <tableStyles count="0" defaultTableStyle="TableStyleMedium9" defaultPivotStyle="PivotStyleLight16"/>
  <colors>
    <mruColors>
      <color rgb="FF99FF99"/>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PERSONAL.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PERSONAL"/>
    </sheetNames>
    <definedNames>
      <definedName name="Build_Linear_Regression"/>
    </defined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wrishko@saskpower.com" TargetMode="External"/><Relationship Id="rId1" Type="http://schemas.openxmlformats.org/officeDocument/2006/relationships/hyperlink" Target="mailto:Chris.Scheetz@nerc.net"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AV221"/>
  <sheetViews>
    <sheetView tabSelected="1" zoomScale="69" zoomScaleNormal="69" workbookViewId="0">
      <pane ySplit="3" topLeftCell="A4" activePane="bottomLeft" state="frozen"/>
      <selection pane="bottomLeft" activeCell="B1" sqref="B1"/>
    </sheetView>
  </sheetViews>
  <sheetFormatPr defaultRowHeight="12.75"/>
  <cols>
    <col min="1" max="1" width="22.5703125" style="16" customWidth="1"/>
    <col min="2" max="2" width="9.7109375" style="2" customWidth="1"/>
    <col min="3" max="3" width="12.140625" style="2" bestFit="1" customWidth="1"/>
    <col min="4" max="4" width="9.7109375" style="2" customWidth="1"/>
    <col min="5" max="5" width="11.85546875" customWidth="1"/>
    <col min="6" max="6" width="13.85546875" bestFit="1" customWidth="1"/>
    <col min="7" max="7" width="13.140625" customWidth="1"/>
    <col min="8" max="8" width="13.85546875" bestFit="1" customWidth="1"/>
    <col min="9" max="9" width="11" customWidth="1"/>
    <col min="10" max="10" width="12.85546875" customWidth="1"/>
    <col min="11" max="11" width="1.42578125" customWidth="1"/>
    <col min="12" max="12" width="18.5703125" customWidth="1"/>
    <col min="13" max="13" width="58.42578125" customWidth="1"/>
    <col min="15" max="16" width="12.5703125" bestFit="1" customWidth="1"/>
    <col min="17" max="17" width="61.85546875" customWidth="1"/>
    <col min="34" max="34" width="12.140625" customWidth="1"/>
    <col min="35" max="35" width="9.7109375" bestFit="1" customWidth="1"/>
  </cols>
  <sheetData>
    <row r="1" spans="1:48" ht="48.75" customHeight="1" thickBot="1">
      <c r="A1" s="37" t="s">
        <v>0</v>
      </c>
      <c r="B1" s="39" t="s">
        <v>51</v>
      </c>
      <c r="C1" s="37"/>
      <c r="D1" s="107" t="s">
        <v>52</v>
      </c>
      <c r="E1" s="108"/>
      <c r="F1" s="108"/>
      <c r="G1" s="108"/>
      <c r="H1" s="108"/>
      <c r="I1" s="108"/>
      <c r="J1" s="108"/>
      <c r="L1" s="84" t="s">
        <v>101</v>
      </c>
      <c r="O1" s="105" t="s">
        <v>59</v>
      </c>
      <c r="P1" s="106"/>
      <c r="Q1" s="90" t="s">
        <v>132</v>
      </c>
    </row>
    <row r="2" spans="1:48">
      <c r="A2" s="15" t="s">
        <v>20</v>
      </c>
      <c r="B2" s="17"/>
      <c r="C2" s="6" t="s">
        <v>61</v>
      </c>
      <c r="D2" s="8" t="s">
        <v>63</v>
      </c>
      <c r="E2" s="4" t="s">
        <v>12</v>
      </c>
      <c r="F2" s="8"/>
      <c r="G2" s="4" t="s">
        <v>11</v>
      </c>
      <c r="H2" s="8"/>
      <c r="I2" s="6" t="s">
        <v>39</v>
      </c>
      <c r="J2" s="9" t="s">
        <v>64</v>
      </c>
      <c r="K2" s="10"/>
      <c r="L2" s="12" t="s">
        <v>19</v>
      </c>
      <c r="M2" s="13"/>
      <c r="N2" s="10"/>
      <c r="O2" s="4" t="s">
        <v>57</v>
      </c>
      <c r="P2" s="50" t="s">
        <v>58</v>
      </c>
      <c r="Q2" s="53"/>
      <c r="R2" s="10"/>
      <c r="S2" s="10"/>
      <c r="T2" s="10"/>
      <c r="U2" s="10"/>
      <c r="V2" s="10"/>
      <c r="W2" s="10"/>
      <c r="X2" s="10"/>
      <c r="Y2" s="10"/>
      <c r="Z2" s="10"/>
      <c r="AA2" s="10"/>
      <c r="AB2" s="10"/>
      <c r="AC2" s="10"/>
      <c r="AD2" s="10"/>
      <c r="AE2" s="10"/>
      <c r="AF2" s="10"/>
      <c r="AG2" s="10"/>
    </row>
    <row r="3" spans="1:48" ht="13.5" thickBot="1">
      <c r="A3" s="74" t="s">
        <v>21</v>
      </c>
      <c r="B3" s="75" t="s">
        <v>9</v>
      </c>
      <c r="C3" s="51" t="s">
        <v>62</v>
      </c>
      <c r="D3" s="9" t="s">
        <v>9</v>
      </c>
      <c r="E3" s="7" t="s">
        <v>14</v>
      </c>
      <c r="F3" s="9" t="s">
        <v>60</v>
      </c>
      <c r="G3" s="51" t="s">
        <v>14</v>
      </c>
      <c r="H3" s="54" t="s">
        <v>60</v>
      </c>
      <c r="I3" s="7" t="s">
        <v>23</v>
      </c>
      <c r="J3" s="9" t="s">
        <v>65</v>
      </c>
      <c r="K3" s="49">
        <v>0.8</v>
      </c>
      <c r="L3" s="14" t="s">
        <v>18</v>
      </c>
      <c r="M3" s="18" t="s">
        <v>17</v>
      </c>
      <c r="N3" s="10"/>
      <c r="O3" s="51" t="s">
        <v>5</v>
      </c>
      <c r="P3" s="52" t="s">
        <v>5</v>
      </c>
      <c r="Q3" s="52" t="s">
        <v>131</v>
      </c>
      <c r="R3" s="10"/>
      <c r="S3" s="10"/>
      <c r="T3" s="10"/>
      <c r="U3" s="10"/>
      <c r="V3" s="10"/>
      <c r="W3" s="10"/>
      <c r="X3" s="10"/>
      <c r="Y3" s="10"/>
      <c r="Z3" s="10"/>
      <c r="AA3" s="10"/>
      <c r="AB3" s="10"/>
      <c r="AC3" s="10"/>
      <c r="AD3" s="10"/>
      <c r="AE3" s="10"/>
      <c r="AF3" s="10"/>
      <c r="AG3" s="10"/>
    </row>
    <row r="4" spans="1:48" ht="15.75" customHeight="1">
      <c r="A4" s="73">
        <v>39802.508333333331</v>
      </c>
      <c r="B4" s="2">
        <v>-5.7760692778103362E-2</v>
      </c>
      <c r="C4" s="61">
        <v>0.5083333333333333</v>
      </c>
      <c r="D4" s="62">
        <v>-5.7760692778103362E-2</v>
      </c>
      <c r="E4" s="63">
        <v>-116.99717966715495</v>
      </c>
      <c r="F4" s="83">
        <f ca="1">IF(CELL("type",Adjustments!$T4) = "v",(Adjustments!$C4+Adjustments!$F4+Adjustments!$I4+Adjustments!$L4+Adjustments!$Q4),0)</f>
        <v>0</v>
      </c>
      <c r="G4" s="65">
        <v>-93.750459035237625</v>
      </c>
      <c r="H4" s="82">
        <f ca="1">IF(CELL("type",Adjustments!$T4) = "v",(Adjustments!$D4+Adjustments!$G4+Adjustments!$J4+Adjustments!$M4-Adjustments!$O4*10*'Data Entry'!$D4+Adjustments!$R4),0)</f>
        <v>0</v>
      </c>
      <c r="I4" s="57">
        <f ca="1">IF($J4="y", "",IF(CELL("type",$D4) = "v",(($G4-$H4)-($E4-$F4))/(10*$D4),""))</f>
        <v>-40.246609785694922</v>
      </c>
      <c r="J4" s="69" t="s">
        <v>22</v>
      </c>
      <c r="K4" s="43">
        <f ca="1">IF($J4="y", "",IF(CELL("type",$D4) = "v",(($G4-$H4)-($E4-$F4)),""))</f>
        <v>23.246720631917327</v>
      </c>
      <c r="O4" s="65">
        <v>2869.1147867838499</v>
      </c>
      <c r="P4" s="65">
        <v>2861.1832275390625</v>
      </c>
      <c r="Q4" s="71"/>
      <c r="AH4" s="58">
        <v>-5.7760692778103362E-2</v>
      </c>
      <c r="AI4" s="32">
        <v>23.246720631917327</v>
      </c>
      <c r="AL4" s="104" t="s">
        <v>102</v>
      </c>
      <c r="AM4" s="104"/>
      <c r="AN4" s="104"/>
      <c r="AO4" s="104"/>
      <c r="AP4" s="104"/>
      <c r="AQ4" s="89"/>
      <c r="AR4" s="89"/>
      <c r="AS4" s="89"/>
      <c r="AT4" s="89"/>
      <c r="AU4" s="89"/>
      <c r="AV4" s="89"/>
    </row>
    <row r="5" spans="1:48" ht="15.75" customHeight="1">
      <c r="A5" s="19">
        <v>39809.595833333333</v>
      </c>
      <c r="B5" s="2">
        <v>-6.609326317200015E-2</v>
      </c>
      <c r="C5" s="66">
        <v>0.59583333333333333</v>
      </c>
      <c r="D5" s="67">
        <v>-6.609326317200015E-2</v>
      </c>
      <c r="E5" s="65">
        <v>-138.49405479431152</v>
      </c>
      <c r="F5" s="57">
        <f ca="1">IF(CELL("type",Adjustments!$T5) = "v",(Adjustments!$C5+Adjustments!$F5+Adjustments!$I5+Adjustments!$L5+Adjustments!$Q5),0)</f>
        <v>0</v>
      </c>
      <c r="G5" s="65">
        <v>-110.7924303327288</v>
      </c>
      <c r="H5" s="57">
        <f ca="1">IF(CELL("type",Adjustments!$T5) = "v",(Adjustments!$D5+Adjustments!$G5+Adjustments!$J5+Adjustments!$M5+Adjustments!$O5*10*'Data Entry'!$D5+Adjustments!$R5),0)</f>
        <v>0</v>
      </c>
      <c r="I5" s="57">
        <f t="shared" ref="I5:I39" ca="1" si="0">IF($J5="y", "",IF(CELL("type",$D5) = "v",(($G5-$H5)-($E5-$F5))/(10*$D5),""))</f>
        <v>-41.91293201773442</v>
      </c>
      <c r="J5" s="69" t="s">
        <v>22</v>
      </c>
      <c r="K5" s="43">
        <f t="shared" ref="K5:K39" ca="1" si="1">IF($J5="y", "",IF(CELL("type",$D5) = "v",(($G5-$H5)-($E5-$F5)),""))</f>
        <v>27.701624461582725</v>
      </c>
      <c r="O5" s="65">
        <v>2553.609375</v>
      </c>
      <c r="P5" s="65">
        <v>2576.9185616629466</v>
      </c>
      <c r="Q5" s="71"/>
      <c r="AH5" s="58">
        <v>-6.609326317200015E-2</v>
      </c>
      <c r="AI5" s="32">
        <v>27.701624461582725</v>
      </c>
      <c r="AL5" s="104" t="s">
        <v>103</v>
      </c>
      <c r="AM5" s="104"/>
      <c r="AN5" s="104"/>
      <c r="AO5" s="104"/>
      <c r="AP5" s="104"/>
      <c r="AQ5" s="89"/>
      <c r="AR5" s="89"/>
      <c r="AS5" s="89"/>
      <c r="AT5" s="89"/>
      <c r="AU5" s="89"/>
      <c r="AV5" s="88"/>
    </row>
    <row r="6" spans="1:48" ht="15.75" customHeight="1">
      <c r="A6" s="20">
        <v>39818.393055555556</v>
      </c>
      <c r="B6" s="25">
        <v>-4.0239788237002472E-2</v>
      </c>
      <c r="C6" s="66">
        <v>0.39305555555555555</v>
      </c>
      <c r="D6" s="67">
        <v>-4.0239788237002472E-2</v>
      </c>
      <c r="E6" s="65">
        <v>-99.195755004882813</v>
      </c>
      <c r="F6" s="57">
        <f ca="1">IF(CELL("type",Adjustments!$T6) = "v",(Adjustments!$C6+Adjustments!$F6+Adjustments!$I6+Adjustments!$L6+Adjustments!$Q6),0)</f>
        <v>0</v>
      </c>
      <c r="G6" s="65">
        <v>-88.532525062561035</v>
      </c>
      <c r="H6" s="57">
        <f ca="1">IF(CELL("type",Adjustments!$T6) = "v",(Adjustments!$D6+Adjustments!$G6+Adjustments!$J6+Adjustments!$M6+Adjustments!$O6*10*'Data Entry'!$D6+Adjustments!$R6),0)</f>
        <v>0</v>
      </c>
      <c r="I6" s="57">
        <f t="shared" ca="1" si="0"/>
        <v>-26.499219825705769</v>
      </c>
      <c r="J6" s="69" t="s">
        <v>22</v>
      </c>
      <c r="K6" s="43">
        <f t="shared" ca="1" si="1"/>
        <v>10.663229942321777</v>
      </c>
      <c r="O6" s="65">
        <v>2838.7101004464284</v>
      </c>
      <c r="P6" s="65">
        <v>2857.80810546875</v>
      </c>
      <c r="Q6" s="71"/>
      <c r="AH6" s="58">
        <v>-4.0239788237002472E-2</v>
      </c>
      <c r="AI6" s="32">
        <v>10.663229942321777</v>
      </c>
      <c r="AL6" s="104" t="s">
        <v>104</v>
      </c>
      <c r="AM6" s="104"/>
      <c r="AN6" s="104"/>
      <c r="AO6" s="104"/>
      <c r="AP6" s="104"/>
      <c r="AQ6" s="89"/>
      <c r="AR6" s="89"/>
      <c r="AS6" s="89"/>
      <c r="AT6" s="89"/>
      <c r="AU6" s="89"/>
      <c r="AV6" s="88"/>
    </row>
    <row r="7" spans="1:48" ht="15.75" customHeight="1">
      <c r="A7" s="20">
        <v>39840.027083333334</v>
      </c>
      <c r="B7" s="25">
        <v>-5.252492995489888E-2</v>
      </c>
      <c r="C7" s="66">
        <v>2.7083333333333334E-2</v>
      </c>
      <c r="D7" s="67">
        <v>-5.252492995489888E-2</v>
      </c>
      <c r="E7" s="65">
        <v>-94.420301818847662</v>
      </c>
      <c r="F7" s="57">
        <f ca="1">IF(CELL("type",Adjustments!$T7) = "v",(Adjustments!$C7+Adjustments!$F7+Adjustments!$I7+Adjustments!$L7+Adjustments!$Q7),0)</f>
        <v>0</v>
      </c>
      <c r="G7" s="65">
        <v>-13.759411266871862</v>
      </c>
      <c r="H7" s="57">
        <f ca="1">IF(CELL("type",Adjustments!$T7) = "v",(Adjustments!$D7+Adjustments!$G7+Adjustments!$J7+Adjustments!$M7+Adjustments!$O7*10*'Data Entry'!$D7+Adjustments!$R7),0)</f>
        <v>0</v>
      </c>
      <c r="I7" s="57">
        <f t="shared" ca="1" si="0"/>
        <v>-153.56686933468768</v>
      </c>
      <c r="J7" s="69" t="s">
        <v>22</v>
      </c>
      <c r="K7" s="43">
        <f t="shared" ca="1" si="1"/>
        <v>80.660890551975797</v>
      </c>
      <c r="L7" s="1">
        <f>L18+1</f>
        <v>2010</v>
      </c>
      <c r="M7" t="s">
        <v>16</v>
      </c>
      <c r="O7" s="65">
        <v>2524.6842773437502</v>
      </c>
      <c r="P7" s="65">
        <v>2522.2964913504466</v>
      </c>
      <c r="Q7" s="71"/>
      <c r="AH7">
        <v>-5.252492995489888E-2</v>
      </c>
      <c r="AI7">
        <v>80.660890551975797</v>
      </c>
      <c r="AL7" s="104" t="s">
        <v>105</v>
      </c>
      <c r="AM7" s="104"/>
      <c r="AN7" s="104"/>
      <c r="AO7" s="104"/>
      <c r="AP7" s="104"/>
      <c r="AQ7" s="89"/>
      <c r="AR7" s="89"/>
      <c r="AS7" s="89"/>
      <c r="AT7" s="89"/>
      <c r="AU7" s="89"/>
      <c r="AV7" s="88"/>
    </row>
    <row r="8" spans="1:48" ht="15.75" customHeight="1">
      <c r="A8" s="19">
        <v>39845.790972222225</v>
      </c>
      <c r="B8" s="2">
        <v>-7.090523129419779E-2</v>
      </c>
      <c r="C8" s="66">
        <v>0.7909722222222223</v>
      </c>
      <c r="D8" s="67">
        <v>-7.090523129419779E-2</v>
      </c>
      <c r="E8" s="65">
        <v>62.288924694061279</v>
      </c>
      <c r="F8" s="57">
        <f ca="1">IF(CELL("type",Adjustments!$T8) = "v",(Adjustments!$C8+Adjustments!$F8+Adjustments!$I8+Adjustments!$L8+Adjustments!$Q8),0)</f>
        <v>0</v>
      </c>
      <c r="G8" s="65">
        <v>35.391315732683452</v>
      </c>
      <c r="H8" s="57">
        <f ca="1">IF(CELL("type",Adjustments!$T8) = "v",(Adjustments!$D8+Adjustments!$G8+Adjustments!$J8+Adjustments!$M8+Adjustments!$O8*10*'Data Entry'!$D8+Adjustments!$R8),0)</f>
        <v>0</v>
      </c>
      <c r="I8" s="57">
        <f t="shared" ca="1" si="0"/>
        <v>37.934590255795236</v>
      </c>
      <c r="J8" s="69" t="s">
        <v>22</v>
      </c>
      <c r="K8" s="43">
        <f t="shared" ca="1" si="1"/>
        <v>-26.897608961377827</v>
      </c>
      <c r="L8" s="1" t="s">
        <v>13</v>
      </c>
      <c r="M8" t="s">
        <v>8</v>
      </c>
      <c r="O8" s="65">
        <v>2628.5781555175781</v>
      </c>
      <c r="P8" s="65">
        <v>2642.9117606026784</v>
      </c>
      <c r="Q8" s="71"/>
      <c r="AH8">
        <v>-7.090523129419779E-2</v>
      </c>
      <c r="AI8">
        <v>-26.897608961377827</v>
      </c>
      <c r="AL8" s="104" t="s">
        <v>106</v>
      </c>
      <c r="AM8" s="104"/>
      <c r="AN8" s="104"/>
      <c r="AO8" s="104"/>
      <c r="AP8" s="104"/>
      <c r="AQ8" s="89"/>
      <c r="AR8" s="89"/>
      <c r="AS8" s="89"/>
      <c r="AT8" s="89"/>
      <c r="AU8" s="89"/>
      <c r="AV8" s="88"/>
    </row>
    <row r="9" spans="1:48" ht="15.75" customHeight="1">
      <c r="A9" s="19">
        <v>39863.207638888889</v>
      </c>
      <c r="B9" s="2">
        <v>-5.1906767345698768E-2</v>
      </c>
      <c r="C9" s="66">
        <v>0.2076388888888889</v>
      </c>
      <c r="D9" s="67">
        <v>-5.1906767345698768E-2</v>
      </c>
      <c r="E9" s="65">
        <v>10.16281495988369</v>
      </c>
      <c r="F9" s="57">
        <f ca="1">IF(CELL("type",Adjustments!$T9) = "v",(Adjustments!$C9+Adjustments!$F9+Adjustments!$I9+Adjustments!$L9+Adjustments!$Q9),0)</f>
        <v>0</v>
      </c>
      <c r="G9" s="65">
        <v>20.118264138698578</v>
      </c>
      <c r="H9" s="57">
        <f ca="1">IF(CELL("type",Adjustments!$T9) = "v",(Adjustments!$D9+Adjustments!$G9+Adjustments!$J9+Adjustments!$M9+Adjustments!$O9*10*'Data Entry'!$D9+Adjustments!$R9),0)</f>
        <v>0</v>
      </c>
      <c r="I9" s="57">
        <f t="shared" ca="1" si="0"/>
        <v>-19.179482152127978</v>
      </c>
      <c r="J9" s="69" t="s">
        <v>22</v>
      </c>
      <c r="K9" s="43">
        <f t="shared" ca="1" si="1"/>
        <v>9.955449178814888</v>
      </c>
      <c r="L9" s="40" t="str">
        <f>B1</f>
        <v>BA_1</v>
      </c>
      <c r="M9" t="s">
        <v>0</v>
      </c>
      <c r="N9" s="31"/>
      <c r="O9" s="65">
        <v>2295.66845703125</v>
      </c>
      <c r="P9" s="65">
        <v>2283.7382202148437</v>
      </c>
      <c r="Q9" s="71"/>
      <c r="AH9">
        <v>-5.1906767345698768E-2</v>
      </c>
      <c r="AI9">
        <v>9.955449178814888</v>
      </c>
      <c r="AL9" s="104" t="s">
        <v>107</v>
      </c>
      <c r="AM9" s="104"/>
      <c r="AN9" s="104"/>
      <c r="AO9" s="104"/>
      <c r="AP9" s="104"/>
      <c r="AQ9" s="89"/>
      <c r="AR9" s="89"/>
      <c r="AS9" s="89"/>
      <c r="AT9" s="89"/>
      <c r="AU9" s="89"/>
      <c r="AV9" s="88"/>
    </row>
    <row r="10" spans="1:48" ht="15.75" customHeight="1">
      <c r="A10" s="20">
        <v>39896.893750000003</v>
      </c>
      <c r="B10" s="25">
        <v>-5.804770333430298E-2</v>
      </c>
      <c r="C10" s="66">
        <v>0.89374999999999993</v>
      </c>
      <c r="D10" s="67">
        <v>-5.804770333430298E-2</v>
      </c>
      <c r="E10" s="65">
        <v>-164.45425415039062</v>
      </c>
      <c r="F10" s="57">
        <f ca="1">IF(CELL("type",Adjustments!$T10) = "v",(Adjustments!$C10+Adjustments!$F10+Adjustments!$I10+Adjustments!$L10+Adjustments!$Q10),0)</f>
        <v>0</v>
      </c>
      <c r="G10" s="65">
        <v>-161.0872301374163</v>
      </c>
      <c r="H10" s="57">
        <f ca="1">IF(CELL("type",Adjustments!$T10) = "v",(Adjustments!$D10+Adjustments!$G10+Adjustments!$J10+Adjustments!$M10+Adjustments!$O10*10*'Data Entry'!$D10+Adjustments!$R10),0)</f>
        <v>0</v>
      </c>
      <c r="I10" s="57">
        <f t="shared" ca="1" si="0"/>
        <v>-5.8004431175911852</v>
      </c>
      <c r="J10" s="69" t="s">
        <v>22</v>
      </c>
      <c r="K10" s="43">
        <f t="shared" ca="1" si="1"/>
        <v>3.3670240129743263</v>
      </c>
      <c r="L10" s="69" t="s">
        <v>10</v>
      </c>
      <c r="M10" t="s">
        <v>2</v>
      </c>
      <c r="O10" s="65">
        <v>2438.231201171875</v>
      </c>
      <c r="P10" s="65">
        <v>2465.2617013113841</v>
      </c>
      <c r="Q10" s="71"/>
      <c r="AH10">
        <v>-5.804770333430298E-2</v>
      </c>
      <c r="AI10">
        <v>3.3670240129743263</v>
      </c>
      <c r="AL10" s="104" t="s">
        <v>108</v>
      </c>
      <c r="AM10" s="104"/>
      <c r="AN10" s="104"/>
      <c r="AO10" s="104"/>
      <c r="AP10" s="104"/>
      <c r="AQ10" s="89"/>
      <c r="AR10" s="89"/>
      <c r="AS10" s="89"/>
      <c r="AT10" s="89"/>
      <c r="AU10" s="89"/>
      <c r="AV10" s="88"/>
    </row>
    <row r="11" spans="1:48" ht="15.75" customHeight="1">
      <c r="A11" s="20">
        <v>39898.160416666666</v>
      </c>
      <c r="B11" s="25">
        <v>-7.5572422572498965E-2</v>
      </c>
      <c r="C11" s="66">
        <v>0.16041666666666668</v>
      </c>
      <c r="D11" s="67">
        <v>-7.5572422572498965E-2</v>
      </c>
      <c r="E11" s="65">
        <v>-167.58413696289062</v>
      </c>
      <c r="F11" s="57">
        <f ca="1">IF(CELL("type",Adjustments!$T11) = "v",(Adjustments!$C11+Adjustments!$F11+Adjustments!$I11+Adjustments!$L11+Adjustments!$Q11),0)</f>
        <v>0</v>
      </c>
      <c r="G11" s="65">
        <v>-131.24971008300781</v>
      </c>
      <c r="H11" s="57">
        <f ca="1">IF(CELL("type",Adjustments!$T11) = "v",(Adjustments!$D11+Adjustments!$G11+Adjustments!$J11+Adjustments!$M11+Adjustments!$O11*10*'Data Entry'!$D11+Adjustments!$R11),0)</f>
        <v>0</v>
      </c>
      <c r="I11" s="57">
        <f t="shared" ca="1" si="0"/>
        <v>-48.078949493813134</v>
      </c>
      <c r="J11" s="69" t="s">
        <v>22</v>
      </c>
      <c r="K11" s="43">
        <f t="shared" ca="1" si="1"/>
        <v>36.334426879882812</v>
      </c>
      <c r="L11" s="69" t="s">
        <v>10</v>
      </c>
      <c r="M11" t="s">
        <v>3</v>
      </c>
      <c r="O11" s="65">
        <v>2198.7744140625</v>
      </c>
      <c r="P11" s="65">
        <v>2193.6265258789062</v>
      </c>
      <c r="Q11" s="71"/>
      <c r="AH11">
        <v>-7.5572422572498965E-2</v>
      </c>
      <c r="AI11">
        <v>36.334426879882812</v>
      </c>
      <c r="AL11" s="104" t="s">
        <v>109</v>
      </c>
      <c r="AM11" s="104"/>
      <c r="AN11" s="104"/>
      <c r="AO11" s="104"/>
      <c r="AP11" s="104"/>
      <c r="AQ11" s="89"/>
      <c r="AR11" s="89"/>
      <c r="AS11" s="89"/>
      <c r="AT11" s="89"/>
      <c r="AU11" s="89"/>
      <c r="AV11" s="88"/>
    </row>
    <row r="12" spans="1:48" ht="15.75" customHeight="1">
      <c r="A12" s="19">
        <v>39904.711805555555</v>
      </c>
      <c r="B12" s="2">
        <v>-5.6380498976999149E-2</v>
      </c>
      <c r="C12" s="66">
        <v>0.71180555555555547</v>
      </c>
      <c r="D12" s="67">
        <v>-5.6380498976999149E-2</v>
      </c>
      <c r="E12" s="65">
        <v>-185.23584493001303</v>
      </c>
      <c r="F12" s="57">
        <f ca="1">IF(CELL("type",Adjustments!$T12) = "v",(Adjustments!$C12+Adjustments!$F12+Adjustments!$I12+Adjustments!$L12+Adjustments!$Q12),0)</f>
        <v>0</v>
      </c>
      <c r="G12" s="65">
        <v>-184.74759188565341</v>
      </c>
      <c r="H12" s="57">
        <f ca="1">IF(CELL("type",Adjustments!$T12) = "v",(Adjustments!$D12+Adjustments!$G12+Adjustments!$J12+Adjustments!$M12+Adjustments!$O12*10*'Data Entry'!$D12+Adjustments!$R12),0)</f>
        <v>0</v>
      </c>
      <c r="I12" s="57">
        <f t="shared" ca="1" si="0"/>
        <v>-0.8659963164902289</v>
      </c>
      <c r="J12" s="69" t="s">
        <v>22</v>
      </c>
      <c r="K12" s="43">
        <f t="shared" ca="1" si="1"/>
        <v>0.4882530443596238</v>
      </c>
      <c r="L12" s="70" t="s">
        <v>10</v>
      </c>
      <c r="M12" t="s">
        <v>4</v>
      </c>
      <c r="O12" s="65">
        <v>2447.86865234375</v>
      </c>
      <c r="P12" s="65">
        <v>2436.4140625</v>
      </c>
      <c r="Q12" s="71"/>
      <c r="AH12">
        <v>-5.6380498976999149E-2</v>
      </c>
      <c r="AI12">
        <v>0.4882530443596238</v>
      </c>
      <c r="AL12" s="104" t="s">
        <v>110</v>
      </c>
      <c r="AM12" s="104"/>
      <c r="AN12" s="104"/>
      <c r="AO12" s="104"/>
      <c r="AP12" s="104"/>
      <c r="AQ12" s="89"/>
      <c r="AR12" s="89"/>
      <c r="AS12" s="89"/>
      <c r="AT12" s="89"/>
      <c r="AU12" s="89"/>
      <c r="AV12" s="88"/>
    </row>
    <row r="13" spans="1:48" ht="15.75" customHeight="1">
      <c r="A13" s="19">
        <v>39905.714583333334</v>
      </c>
      <c r="B13" s="2">
        <v>-5.7332901727598085E-2</v>
      </c>
      <c r="C13" s="66">
        <v>0.71458333333333324</v>
      </c>
      <c r="D13" s="67">
        <v>-5.7332901727598085E-2</v>
      </c>
      <c r="E13" s="65">
        <v>-124.81634330749512</v>
      </c>
      <c r="F13" s="57">
        <f ca="1">IF(CELL("type",Adjustments!$T13) = "v",(Adjustments!$C13+Adjustments!$F13+Adjustments!$I13+Adjustments!$L13+Adjustments!$Q13),0)</f>
        <v>0</v>
      </c>
      <c r="G13" s="65">
        <v>-122.05830637613933</v>
      </c>
      <c r="H13" s="57">
        <f ca="1">IF(CELL("type",Adjustments!$T13) = "v",(Adjustments!$D13+Adjustments!$G13+Adjustments!$J13+Adjustments!$M13+Adjustments!$O13*10*'Data Entry'!$D13+Adjustments!$R13),0)</f>
        <v>0</v>
      </c>
      <c r="I13" s="57">
        <f t="shared" ca="1" si="0"/>
        <v>-4.8105657454071711</v>
      </c>
      <c r="J13" s="69" t="s">
        <v>22</v>
      </c>
      <c r="K13" s="43">
        <f t="shared" ca="1" si="1"/>
        <v>2.7580369313557895</v>
      </c>
      <c r="L13" s="69">
        <v>3241</v>
      </c>
      <c r="M13" t="s">
        <v>7</v>
      </c>
      <c r="O13" s="65">
        <v>2273.1077270507812</v>
      </c>
      <c r="P13" s="65">
        <v>2269.4617919921875</v>
      </c>
      <c r="Q13" s="71"/>
      <c r="AH13">
        <v>-5.7332901727598085E-2</v>
      </c>
      <c r="AI13">
        <v>2.7580369313557895</v>
      </c>
      <c r="AL13" s="104" t="s">
        <v>111</v>
      </c>
      <c r="AM13" s="104"/>
      <c r="AN13" s="104"/>
      <c r="AO13" s="104"/>
      <c r="AP13" s="104"/>
      <c r="AQ13" s="89"/>
      <c r="AR13" s="89"/>
      <c r="AS13" s="89"/>
      <c r="AT13" s="89"/>
      <c r="AU13" s="89"/>
      <c r="AV13" s="88"/>
    </row>
    <row r="14" spans="1:48" ht="15.75" customHeight="1">
      <c r="A14" s="20">
        <v>39936.420138888891</v>
      </c>
      <c r="B14" s="25">
        <v>-5.1760900588298853E-2</v>
      </c>
      <c r="C14" s="66">
        <v>0.4201388888888889</v>
      </c>
      <c r="D14" s="67">
        <v>-5.1760900588298853E-2</v>
      </c>
      <c r="E14" s="65">
        <v>-19.888631820678711</v>
      </c>
      <c r="F14" s="57">
        <f ca="1">IF(CELL("type",Adjustments!$T14) = "v",(Adjustments!$C14+Adjustments!$F14+Adjustments!$I14+Adjustments!$L14+Adjustments!$Q14),0)</f>
        <v>0</v>
      </c>
      <c r="G14" s="65">
        <v>-6.2452149391174316</v>
      </c>
      <c r="H14" s="57">
        <f ca="1">IF(CELL("type",Adjustments!$T14) = "v",(Adjustments!$D14+Adjustments!$G14+Adjustments!$J14+Adjustments!$M14+Adjustments!$O14*10*'Data Entry'!$D14+Adjustments!$R14),0)</f>
        <v>0</v>
      </c>
      <c r="I14" s="57">
        <f t="shared" ca="1" si="0"/>
        <v>-26.358538445997461</v>
      </c>
      <c r="J14" s="69" t="s">
        <v>22</v>
      </c>
      <c r="K14" s="43">
        <f t="shared" ca="1" si="1"/>
        <v>13.643416881561279</v>
      </c>
      <c r="L14" s="69">
        <v>3882</v>
      </c>
      <c r="M14" t="s">
        <v>15</v>
      </c>
      <c r="O14" s="65">
        <v>2010.725048828125</v>
      </c>
      <c r="P14" s="65">
        <v>2012.64990234375</v>
      </c>
      <c r="Q14" s="71"/>
      <c r="AH14">
        <v>-5.1760900588298853E-2</v>
      </c>
      <c r="AI14">
        <v>13.643416881561279</v>
      </c>
      <c r="AL14" s="104" t="s">
        <v>112</v>
      </c>
      <c r="AM14" s="104"/>
      <c r="AN14" s="104"/>
      <c r="AO14" s="104"/>
      <c r="AP14" s="104"/>
      <c r="AQ14" s="89"/>
      <c r="AR14" s="89"/>
      <c r="AS14" s="89"/>
      <c r="AT14" s="89"/>
      <c r="AU14" s="89"/>
      <c r="AV14" s="88"/>
    </row>
    <row r="15" spans="1:48" ht="15.75" customHeight="1">
      <c r="A15" s="21">
        <v>39954.691712962966</v>
      </c>
      <c r="B15" s="25">
        <v>-4.9999237060546875E-2</v>
      </c>
      <c r="C15" s="66">
        <v>0.69171296296296303</v>
      </c>
      <c r="D15" s="67">
        <v>-4.9999237060546875E-2</v>
      </c>
      <c r="E15" s="65">
        <v>-2.3186872402826944</v>
      </c>
      <c r="F15" s="57">
        <f ca="1">IF(CELL("type",Adjustments!$T15) = "v",(Adjustments!$C15+Adjustments!$F15+Adjustments!$I15+Adjustments!$L15+Adjustments!$Q15),0)</f>
        <v>0</v>
      </c>
      <c r="G15" s="65">
        <v>8.7820586760838832</v>
      </c>
      <c r="H15" s="57">
        <f ca="1">IF(CELL("type",Adjustments!$T15) = "v",(Adjustments!$D15+Adjustments!$G15+Adjustments!$J15+Adjustments!$M15+Adjustments!$O15*10*'Data Entry'!$D15+Adjustments!$R15),0)</f>
        <v>0</v>
      </c>
      <c r="I15" s="57">
        <f t="shared" ca="1" si="0"/>
        <v>-22.201830605783169</v>
      </c>
      <c r="J15" s="69" t="s">
        <v>22</v>
      </c>
      <c r="K15" s="43">
        <f t="shared" ca="1" si="1"/>
        <v>11.100745916366577</v>
      </c>
      <c r="L15" s="69">
        <v>3242</v>
      </c>
      <c r="M15" t="s">
        <v>1</v>
      </c>
      <c r="O15" s="65">
        <v>2154.8619791666665</v>
      </c>
      <c r="P15" s="65">
        <v>2155.39599609375</v>
      </c>
      <c r="Q15" s="71"/>
      <c r="AH15">
        <v>-4.9999237060546875E-2</v>
      </c>
      <c r="AI15">
        <v>11.100745916366577</v>
      </c>
      <c r="AL15" s="104" t="s">
        <v>113</v>
      </c>
      <c r="AM15" s="104"/>
      <c r="AN15" s="104"/>
      <c r="AO15" s="104"/>
      <c r="AP15" s="104"/>
      <c r="AQ15" s="89"/>
      <c r="AR15" s="89"/>
      <c r="AS15" s="89"/>
      <c r="AT15" s="89"/>
      <c r="AU15" s="89"/>
      <c r="AV15" s="88"/>
    </row>
    <row r="16" spans="1:48" ht="15.75" customHeight="1">
      <c r="A16" s="19">
        <v>39985.701678240737</v>
      </c>
      <c r="B16" s="2">
        <v>-5.1999999999999998E-2</v>
      </c>
      <c r="C16" s="66">
        <v>0.70138888888888884</v>
      </c>
      <c r="D16" s="67">
        <v>-5.1999999999999998E-2</v>
      </c>
      <c r="E16" s="65">
        <v>7.8209301630655927</v>
      </c>
      <c r="F16" s="57">
        <f ca="1">IF(CELL("type",Adjustments!$T16) = "v",(Adjustments!$C16+Adjustments!$F16+Adjustments!$I16+Adjustments!$L16+Adjustments!$Q16),0)</f>
        <v>0</v>
      </c>
      <c r="G16" s="65">
        <v>-12.085916320482889</v>
      </c>
      <c r="H16" s="57">
        <f ca="1">IF(CELL("type",Adjustments!$T16) = "v",(Adjustments!$D16+Adjustments!$G16+Adjustments!$J16+Adjustments!$M16+Adjustments!$O16*10*'Data Entry'!$D16+Adjustments!$R16),0)</f>
        <v>0</v>
      </c>
      <c r="I16" s="57">
        <f t="shared" ca="1" si="0"/>
        <v>38.282397083747078</v>
      </c>
      <c r="J16" s="69" t="s">
        <v>22</v>
      </c>
      <c r="K16" s="43">
        <f t="shared" ca="1" si="1"/>
        <v>-19.906846483548481</v>
      </c>
      <c r="O16" s="65">
        <v>2104.457763671875</v>
      </c>
      <c r="P16" s="65">
        <v>2103.3636338975693</v>
      </c>
      <c r="Q16" s="71"/>
      <c r="AH16">
        <v>-5.1999999999999998E-2</v>
      </c>
      <c r="AI16">
        <v>-19.906846483548481</v>
      </c>
      <c r="AL16" s="104" t="s">
        <v>114</v>
      </c>
      <c r="AM16" s="104"/>
      <c r="AN16" s="104"/>
      <c r="AO16" s="104"/>
      <c r="AP16" s="104"/>
      <c r="AQ16" s="89"/>
      <c r="AR16" s="89"/>
      <c r="AS16" s="89"/>
      <c r="AT16" s="89"/>
      <c r="AU16" s="89"/>
      <c r="AV16" s="88"/>
    </row>
    <row r="17" spans="1:48" ht="15.75" customHeight="1">
      <c r="A17" s="22">
        <v>39989.577592592592</v>
      </c>
      <c r="B17" s="2">
        <v>-5.5999755859375E-2</v>
      </c>
      <c r="C17" s="66">
        <v>0.57759259259259255</v>
      </c>
      <c r="D17" s="67">
        <v>-5.5999755859375E-2</v>
      </c>
      <c r="E17" s="65">
        <v>33.393598079681396</v>
      </c>
      <c r="F17" s="57">
        <f ca="1">IF(CELL("type",Adjustments!$T17) = "v",(Adjustments!$C17+Adjustments!$F17+Adjustments!$I17+Adjustments!$L17+Adjustments!$Q17),0)</f>
        <v>0</v>
      </c>
      <c r="G17" s="65">
        <v>45.719062381320526</v>
      </c>
      <c r="H17" s="57">
        <f ca="1">IF(CELL("type",Adjustments!$T17) = "v",(Adjustments!$D17+Adjustments!$G17+Adjustments!$J17+Adjustments!$M17+Adjustments!$O17*10*'Data Entry'!$D17+Adjustments!$R17),0)</f>
        <v>0</v>
      </c>
      <c r="I17" s="57">
        <f t="shared" ca="1" si="0"/>
        <v>-22.009853636845286</v>
      </c>
      <c r="J17" s="69" t="s">
        <v>22</v>
      </c>
      <c r="K17" s="43">
        <f t="shared" ca="1" si="1"/>
        <v>12.32546430163913</v>
      </c>
      <c r="M17" s="24" t="s">
        <v>10</v>
      </c>
      <c r="N17" s="31"/>
      <c r="O17" s="65">
        <v>2505.83544921875</v>
      </c>
      <c r="P17" s="65">
        <v>2505.2111002604165</v>
      </c>
      <c r="Q17" s="71"/>
      <c r="AH17">
        <v>-5.5999755859375E-2</v>
      </c>
      <c r="AI17">
        <v>12.32546430163913</v>
      </c>
      <c r="AL17" s="104" t="s">
        <v>68</v>
      </c>
      <c r="AM17" s="104"/>
      <c r="AN17" s="104"/>
      <c r="AO17" s="104"/>
      <c r="AP17" s="104"/>
      <c r="AQ17" s="89"/>
      <c r="AR17" s="89"/>
      <c r="AS17" s="89"/>
      <c r="AT17" s="89"/>
      <c r="AU17" s="89"/>
      <c r="AV17" s="88"/>
    </row>
    <row r="18" spans="1:48" ht="15.75" customHeight="1">
      <c r="A18" s="21">
        <v>40000.566481481481</v>
      </c>
      <c r="B18" s="25">
        <v>-5.8498382568359375E-2</v>
      </c>
      <c r="C18" s="66">
        <v>0.56648148148148147</v>
      </c>
      <c r="D18" s="67">
        <v>-5.8498382568359375E-2</v>
      </c>
      <c r="E18" s="65">
        <v>30.907500902811687</v>
      </c>
      <c r="F18" s="57">
        <f ca="1">IF(CELL("type",Adjustments!$T18) = "v",(Adjustments!$C18+Adjustments!$F18+Adjustments!$I18+Adjustments!$L18+Adjustments!$Q18),0)</f>
        <v>0</v>
      </c>
      <c r="G18" s="65">
        <v>31.657692750295002</v>
      </c>
      <c r="H18" s="57">
        <f ca="1">IF(CELL("type",Adjustments!$T18) = "v",(Adjustments!$D18+Adjustments!$G18+Adjustments!$J18+Adjustments!$M18+Adjustments!$O18*10*'Data Entry'!$D18+Adjustments!$R18),0)</f>
        <v>0</v>
      </c>
      <c r="I18" s="57">
        <f t="shared" ca="1" si="0"/>
        <v>-1.2824146831866061</v>
      </c>
      <c r="J18" s="69" t="s">
        <v>22</v>
      </c>
      <c r="K18" s="43">
        <f t="shared" ca="1" si="1"/>
        <v>0.75019184748331469</v>
      </c>
      <c r="L18" s="1">
        <f>YEAR(A27)</f>
        <v>2009</v>
      </c>
      <c r="M18" s="31" t="s">
        <v>47</v>
      </c>
      <c r="N18" s="3"/>
      <c r="O18" s="65">
        <v>2382.034708658854</v>
      </c>
      <c r="P18" s="65">
        <v>2383.3363647460937</v>
      </c>
      <c r="Q18" s="71"/>
      <c r="AH18">
        <v>-5.8498382568359375E-2</v>
      </c>
      <c r="AI18">
        <v>0.75019184748331469</v>
      </c>
      <c r="AL18" s="104" t="s">
        <v>115</v>
      </c>
      <c r="AM18" s="104"/>
      <c r="AN18" s="104"/>
      <c r="AO18" s="104"/>
      <c r="AP18" s="104"/>
      <c r="AQ18" s="89"/>
      <c r="AR18" s="89"/>
      <c r="AS18" s="89"/>
      <c r="AT18" s="89"/>
      <c r="AU18" s="89"/>
      <c r="AV18" s="88"/>
    </row>
    <row r="19" spans="1:48" ht="15.75" customHeight="1">
      <c r="A19" s="21">
        <v>40020.587361111109</v>
      </c>
      <c r="B19" s="25">
        <v>-4.850006103515625E-2</v>
      </c>
      <c r="C19" s="66">
        <v>0.58736111111111111</v>
      </c>
      <c r="D19" s="67">
        <v>-4.850006103515625E-2</v>
      </c>
      <c r="E19" s="65">
        <v>-51.596190134684242</v>
      </c>
      <c r="F19" s="57">
        <f ca="1">IF(CELL("type",Adjustments!$T19) = "v",(Adjustments!$C19+Adjustments!$F19+Adjustments!$I19+Adjustments!$L19+Adjustments!$Q19),0)</f>
        <v>0</v>
      </c>
      <c r="G19" s="65">
        <v>-49.36613235473633</v>
      </c>
      <c r="H19" s="57">
        <f ca="1">IF(CELL("type",Adjustments!$T19) = "v",(Adjustments!$D19+Adjustments!$G19+Adjustments!$J19+Adjustments!$M19+Adjustments!$O19*10*'Data Entry'!$D19+Adjustments!$R19),0)</f>
        <v>0</v>
      </c>
      <c r="I19" s="57">
        <f t="shared" ca="1" si="0"/>
        <v>-4.5980514917938153</v>
      </c>
      <c r="J19" s="69" t="s">
        <v>22</v>
      </c>
      <c r="K19" s="43">
        <f t="shared" ca="1" si="1"/>
        <v>2.2300577799479129</v>
      </c>
      <c r="L19" s="71">
        <v>-15.8</v>
      </c>
      <c r="M19" s="3" t="str">
        <f>L18&amp;" Frequency Response Obligation (FRO)"</f>
        <v>2009 Frequency Response Obligation (FRO)</v>
      </c>
      <c r="O19" s="65">
        <v>2180.7638346354165</v>
      </c>
      <c r="P19" s="65">
        <v>2178.8077636718749</v>
      </c>
      <c r="Q19" s="71"/>
      <c r="AH19">
        <v>-4.850006103515625E-2</v>
      </c>
      <c r="AI19">
        <v>2.2300577799479129</v>
      </c>
      <c r="AL19" s="104" t="s">
        <v>116</v>
      </c>
      <c r="AM19" s="104"/>
      <c r="AN19" s="104"/>
      <c r="AO19" s="104"/>
      <c r="AP19" s="104"/>
      <c r="AQ19" s="89"/>
      <c r="AR19" s="89"/>
      <c r="AS19" s="89"/>
      <c r="AT19" s="89"/>
      <c r="AU19" s="89"/>
      <c r="AV19" s="88"/>
    </row>
    <row r="20" spans="1:48" ht="15.75" customHeight="1">
      <c r="A20" s="22">
        <v>40029.825138888889</v>
      </c>
      <c r="B20" s="2">
        <v>-4.5000076293945313E-2</v>
      </c>
      <c r="C20" s="66">
        <v>0.82513888888888898</v>
      </c>
      <c r="D20" s="67">
        <v>-4.5000076293945313E-2</v>
      </c>
      <c r="E20" s="65">
        <v>0.22307531833648681</v>
      </c>
      <c r="F20" s="57">
        <f ca="1">IF(CELL("type",Adjustments!$T20) = "v",(Adjustments!$C20+Adjustments!$F20+Adjustments!$I20+Adjustments!$L20+Adjustments!$Q20),0)</f>
        <v>0</v>
      </c>
      <c r="G20" s="65">
        <v>9.7009346485137939</v>
      </c>
      <c r="H20" s="57">
        <f ca="1">IF(CELL("type",Adjustments!$T20) = "v",(Adjustments!$D20+Adjustments!$G20+Adjustments!$J20+Adjustments!$M20+Adjustments!$O20*10*'Data Entry'!$D20+Adjustments!$R20),0)</f>
        <v>0</v>
      </c>
      <c r="I20" s="57">
        <f t="shared" ca="1" si="0"/>
        <v>-21.061873913872756</v>
      </c>
      <c r="J20" s="69" t="s">
        <v>22</v>
      </c>
      <c r="K20" s="43">
        <f t="shared" ca="1" si="1"/>
        <v>9.4778593301773064</v>
      </c>
      <c r="O20" s="65">
        <v>2035.8070068359375</v>
      </c>
      <c r="P20" s="65">
        <v>2035.542704264323</v>
      </c>
      <c r="Q20" s="71"/>
      <c r="AH20">
        <v>-4.5000076293945313E-2</v>
      </c>
      <c r="AI20">
        <v>9.4778593301773064</v>
      </c>
      <c r="AL20" s="104" t="s">
        <v>117</v>
      </c>
      <c r="AM20" s="104"/>
      <c r="AN20" s="104"/>
      <c r="AO20" s="104"/>
      <c r="AP20" s="104"/>
      <c r="AQ20" s="89"/>
      <c r="AR20" s="89"/>
      <c r="AS20" s="89"/>
      <c r="AT20" s="89"/>
      <c r="AU20" s="89"/>
      <c r="AV20" s="88"/>
    </row>
    <row r="21" spans="1:48" ht="15.75" customHeight="1">
      <c r="A21" s="22">
        <v>40040.671249999999</v>
      </c>
      <c r="B21" s="2">
        <v>-3.7502288818359375E-2</v>
      </c>
      <c r="C21" s="66">
        <v>0.67125000000000001</v>
      </c>
      <c r="D21" s="67">
        <v>-3.7502288818359375E-2</v>
      </c>
      <c r="E21" s="65">
        <v>22.043729305267334</v>
      </c>
      <c r="F21" s="57">
        <f ca="1">IF(CELL("type",Adjustments!$T21) = "v",(Adjustments!$C21+Adjustments!$F21+Adjustments!$I21+Adjustments!$L21+Adjustments!$Q21),0)</f>
        <v>0</v>
      </c>
      <c r="G21" s="65">
        <v>22.399038314819336</v>
      </c>
      <c r="H21" s="57">
        <f ca="1">IF(CELL("type",Adjustments!$T21) = "v",(Adjustments!$D21+Adjustments!$G21+Adjustments!$J21+Adjustments!$M21+Adjustments!$O21*10*'Data Entry'!$D21+Adjustments!$R21),0)</f>
        <v>0</v>
      </c>
      <c r="I21" s="57">
        <f t="shared" ca="1" si="0"/>
        <v>-0.94743286542569427</v>
      </c>
      <c r="J21" s="69" t="s">
        <v>22</v>
      </c>
      <c r="K21" s="43">
        <f t="shared" ca="1" si="1"/>
        <v>0.35530900955200195</v>
      </c>
      <c r="L21" s="3" t="s">
        <v>6</v>
      </c>
      <c r="O21" s="65">
        <v>2103.3326416015625</v>
      </c>
      <c r="P21" s="65">
        <v>2100.3692220052085</v>
      </c>
      <c r="Q21" s="71"/>
      <c r="AH21">
        <v>-3.7502288818359375E-2</v>
      </c>
      <c r="AI21">
        <v>0.35530900955200195</v>
      </c>
      <c r="AL21" s="104" t="s">
        <v>118</v>
      </c>
      <c r="AM21" s="104"/>
      <c r="AN21" s="104"/>
      <c r="AO21" s="104"/>
      <c r="AP21" s="104"/>
      <c r="AQ21" s="89"/>
      <c r="AR21" s="89"/>
      <c r="AS21" s="89"/>
      <c r="AT21" s="89"/>
      <c r="AU21" s="89"/>
      <c r="AV21" s="88"/>
    </row>
    <row r="22" spans="1:48" ht="15.75" customHeight="1">
      <c r="A22" s="21">
        <v>40068.562731481485</v>
      </c>
      <c r="B22" s="25">
        <v>-4.75006103515625E-2</v>
      </c>
      <c r="C22" s="66">
        <v>0.56273148148148155</v>
      </c>
      <c r="D22" s="67">
        <v>-4.75006103515625E-2</v>
      </c>
      <c r="E22" s="65">
        <v>-49.266863505045571</v>
      </c>
      <c r="F22" s="57">
        <f ca="1">IF(CELL("type",Adjustments!$T22) = "v",(Adjustments!$C22+Adjustments!$F22+Adjustments!$I22+Adjustments!$L22+Adjustments!$Q22),0)</f>
        <v>0</v>
      </c>
      <c r="G22" s="65">
        <v>-47.096161651611325</v>
      </c>
      <c r="H22" s="57">
        <f ca="1">IF(CELL("type",Adjustments!$T22) = "v",(Adjustments!$D22+Adjustments!$G22+Adjustments!$J22+Adjustments!$M22+Adjustments!$O22*10*'Data Entry'!$D22+Adjustments!$R22),0)</f>
        <v>0</v>
      </c>
      <c r="I22" s="57">
        <f t="shared" ca="1" si="0"/>
        <v>-4.569839918620838</v>
      </c>
      <c r="J22" s="69" t="s">
        <v>22</v>
      </c>
      <c r="K22" s="43">
        <f t="shared" ca="1" si="1"/>
        <v>2.1707018534342453</v>
      </c>
      <c r="L22" s="5">
        <f ca="1">AVERAGE(I4:I39)</f>
        <v>-24.458745703102924</v>
      </c>
      <c r="M22" s="31" t="s">
        <v>66</v>
      </c>
      <c r="O22" s="65">
        <v>2101.7279459635415</v>
      </c>
      <c r="P22" s="65">
        <v>2098.186279296875</v>
      </c>
      <c r="Q22" s="71"/>
      <c r="AH22">
        <v>-4.75006103515625E-2</v>
      </c>
      <c r="AI22">
        <v>2.1707018534342453</v>
      </c>
      <c r="AL22" s="104" t="s">
        <v>119</v>
      </c>
      <c r="AM22" s="104"/>
      <c r="AN22" s="104"/>
      <c r="AO22" s="104"/>
      <c r="AP22" s="104"/>
      <c r="AQ22" s="89"/>
      <c r="AR22" s="89"/>
      <c r="AS22" s="89"/>
      <c r="AT22" s="89"/>
      <c r="AU22" s="89"/>
      <c r="AV22" s="88"/>
    </row>
    <row r="23" spans="1:48" ht="15.75" customHeight="1">
      <c r="A23" s="21">
        <v>40085.469583333332</v>
      </c>
      <c r="B23" s="25">
        <v>-5.5500030517578125E-2</v>
      </c>
      <c r="C23" s="66">
        <v>0.4695833333333333</v>
      </c>
      <c r="D23" s="67">
        <v>-5.5500030517578125E-2</v>
      </c>
      <c r="E23" s="68">
        <v>-13.305329561233521</v>
      </c>
      <c r="F23" s="57">
        <f ca="1">IF(CELL("type",Adjustments!$T23) = "v",(Adjustments!$C23+Adjustments!$F23+Adjustments!$I23+Adjustments!$L23+Adjustments!$Q23),0)</f>
        <v>0</v>
      </c>
      <c r="G23" s="65">
        <v>16.076744715372723</v>
      </c>
      <c r="H23" s="57">
        <f ca="1">IF(CELL("type",Adjustments!$T23) = "v",(Adjustments!$D23+Adjustments!$G23+Adjustments!$J23+Adjustments!$M23+Adjustments!$O23*10*'Data Entry'!$D23+Adjustments!$R23),0)</f>
        <v>0</v>
      </c>
      <c r="I23" s="57">
        <f t="shared" ca="1" si="0"/>
        <v>-52.940645261988223</v>
      </c>
      <c r="J23" s="69" t="s">
        <v>22</v>
      </c>
      <c r="K23" s="43">
        <f t="shared" ca="1" si="1"/>
        <v>29.382074276606243</v>
      </c>
      <c r="L23" s="5"/>
      <c r="M23" s="24"/>
      <c r="O23" s="65">
        <v>2144.010498046875</v>
      </c>
      <c r="P23" s="65">
        <v>2106.1429443359375</v>
      </c>
      <c r="Q23" s="71"/>
      <c r="AH23">
        <v>-5.5500030517578125E-2</v>
      </c>
      <c r="AI23">
        <v>29.382074276606243</v>
      </c>
      <c r="AL23" s="104" t="s">
        <v>120</v>
      </c>
      <c r="AM23" s="104"/>
      <c r="AN23" s="104"/>
      <c r="AO23" s="104"/>
      <c r="AP23" s="104"/>
      <c r="AQ23" s="89"/>
      <c r="AR23" s="89"/>
      <c r="AS23" s="89"/>
      <c r="AT23" s="89"/>
      <c r="AU23" s="89"/>
      <c r="AV23" s="88"/>
    </row>
    <row r="24" spans="1:48" ht="15.75" customHeight="1">
      <c r="A24" s="23">
        <v>40105.406851851854</v>
      </c>
      <c r="B24" s="2">
        <v>-4.7E-2</v>
      </c>
      <c r="C24" s="66">
        <v>0.40685185185185185</v>
      </c>
      <c r="D24" s="67">
        <v>-4.7E-2</v>
      </c>
      <c r="E24" s="68">
        <v>-103.58715057373047</v>
      </c>
      <c r="F24" s="57">
        <f ca="1">IF(CELL("type",Adjustments!$T24) = "v",(Adjustments!$C24+Adjustments!$F24+Adjustments!$I24+Adjustments!$L24+Adjustments!$Q24),0)</f>
        <v>0</v>
      </c>
      <c r="G24" s="65">
        <v>-98.985769271850586</v>
      </c>
      <c r="H24" s="57">
        <f ca="1">IF(CELL("type",Adjustments!$T24) = "v",(Adjustments!$D24+Adjustments!$G24+Adjustments!$J24+Adjustments!$M24+Adjustments!$O24*10*'Data Entry'!$D24+Adjustments!$R24),0)</f>
        <v>0</v>
      </c>
      <c r="I24" s="57">
        <f t="shared" ca="1" si="0"/>
        <v>-9.7901729827231563</v>
      </c>
      <c r="J24" s="69" t="s">
        <v>22</v>
      </c>
      <c r="K24" s="43">
        <f t="shared" ca="1" si="1"/>
        <v>4.6013813018798828</v>
      </c>
      <c r="L24" s="5">
        <f>LINEST(AI4:AI28,10*AH4:AH28,FALSE)</f>
        <v>-33.770602632089336</v>
      </c>
      <c r="M24" s="31" t="s">
        <v>67</v>
      </c>
      <c r="O24" s="65">
        <v>2376.8797363281251</v>
      </c>
      <c r="P24" s="65">
        <v>2372.80419921875</v>
      </c>
      <c r="Q24" s="71"/>
      <c r="AH24">
        <v>-4.7E-2</v>
      </c>
      <c r="AI24">
        <v>4.6013813018798828</v>
      </c>
      <c r="AL24" s="104" t="s">
        <v>121</v>
      </c>
      <c r="AM24" s="104"/>
      <c r="AN24" s="104"/>
      <c r="AO24" s="104"/>
      <c r="AP24" s="104"/>
      <c r="AQ24" s="89"/>
      <c r="AR24" s="89"/>
      <c r="AS24" s="89"/>
      <c r="AT24" s="89"/>
      <c r="AU24" s="89"/>
      <c r="AV24" s="88"/>
    </row>
    <row r="25" spans="1:48" ht="15.75" customHeight="1">
      <c r="A25" s="23">
        <v>40112.620555555557</v>
      </c>
      <c r="B25" s="2">
        <v>-6.0000000000002274E-2</v>
      </c>
      <c r="C25" s="66">
        <v>0.62055555555555553</v>
      </c>
      <c r="D25" s="67">
        <v>-6.0000000000002274E-2</v>
      </c>
      <c r="E25" s="65">
        <v>-4.1106274127960205</v>
      </c>
      <c r="F25" s="57">
        <f ca="1">IF(CELL("type",Adjustments!$T25) = "v",(Adjustments!$C25+Adjustments!$F25+Adjustments!$I25+Adjustments!$L25+Adjustments!$Q25),0)</f>
        <v>0</v>
      </c>
      <c r="G25" s="65">
        <v>-2.5171125332514444</v>
      </c>
      <c r="H25" s="57">
        <f ca="1">IF(CELL("type",Adjustments!$T25) = "v",(Adjustments!$D25+Adjustments!$G25+Adjustments!$J25+Adjustments!$M25+Adjustments!$O25*10*'Data Entry'!$D25+Adjustments!$R25),0)</f>
        <v>0</v>
      </c>
      <c r="I25" s="57">
        <f t="shared" ca="1" si="0"/>
        <v>-2.6558581325741928</v>
      </c>
      <c r="J25" s="69" t="s">
        <v>22</v>
      </c>
      <c r="K25" s="43">
        <f t="shared" ca="1" si="1"/>
        <v>1.5935148795445762</v>
      </c>
      <c r="O25" s="65">
        <v>2319.6963704427085</v>
      </c>
      <c r="P25" s="65">
        <v>2322.4229329427085</v>
      </c>
      <c r="Q25" s="71"/>
      <c r="AH25">
        <v>-6.0000000000002274E-2</v>
      </c>
      <c r="AI25">
        <v>1.5935148795445762</v>
      </c>
      <c r="AL25" s="104" t="s">
        <v>69</v>
      </c>
      <c r="AM25" s="104"/>
      <c r="AN25" s="104"/>
      <c r="AO25" s="104"/>
      <c r="AP25" s="104"/>
      <c r="AQ25" s="89"/>
      <c r="AR25" s="89"/>
      <c r="AS25" s="89"/>
      <c r="AT25" s="89"/>
      <c r="AU25" s="89"/>
      <c r="AV25" s="88"/>
    </row>
    <row r="26" spans="1:48" ht="15.75" customHeight="1">
      <c r="A26" s="21"/>
      <c r="B26" s="25">
        <v>-5.9999999999995168E-2</v>
      </c>
      <c r="C26" s="66">
        <v>0.90278935185185183</v>
      </c>
      <c r="D26" s="67">
        <v>-5.9999999999995168E-2</v>
      </c>
      <c r="E26" s="65">
        <v>-154.494384765625</v>
      </c>
      <c r="F26" s="57">
        <f ca="1">IF(CELL("type",Adjustments!$T26) = "v",(Adjustments!$C26+Adjustments!$F26+Adjustments!$I26+Adjustments!$L26+Adjustments!$Q26),0)</f>
        <v>0</v>
      </c>
      <c r="G26" s="65">
        <v>-102.1234769821167</v>
      </c>
      <c r="H26" s="57">
        <f ca="1">IF(CELL("type",Adjustments!$T26) = "v",(Adjustments!$D26+Adjustments!$G26+Adjustments!$J26+Adjustments!$M26+Adjustments!$O26*10*'Data Entry'!$D26+Adjustments!$R26),0)</f>
        <v>0</v>
      </c>
      <c r="I26" s="57">
        <f t="shared" ca="1" si="0"/>
        <v>-87.284846305854202</v>
      </c>
      <c r="J26" s="69" t="s">
        <v>22</v>
      </c>
      <c r="K26" s="43">
        <f t="shared" ca="1" si="1"/>
        <v>52.370907783508301</v>
      </c>
      <c r="L26" s="5"/>
      <c r="M26" s="24"/>
      <c r="O26" s="65">
        <v>2442.3479614257812</v>
      </c>
      <c r="P26" s="65">
        <v>2488.2260437011719</v>
      </c>
      <c r="Q26" s="71"/>
      <c r="AH26">
        <v>-5.9999999999995168E-2</v>
      </c>
      <c r="AI26">
        <v>52.370907783508301</v>
      </c>
      <c r="AL26" s="104" t="s">
        <v>70</v>
      </c>
      <c r="AM26" s="104"/>
      <c r="AN26" s="104"/>
      <c r="AO26" s="104"/>
      <c r="AP26" s="104"/>
      <c r="AQ26" s="89"/>
      <c r="AR26" s="89"/>
      <c r="AS26" s="89"/>
      <c r="AT26" s="89"/>
      <c r="AU26" s="89"/>
      <c r="AV26" s="88"/>
    </row>
    <row r="27" spans="1:48" ht="15.75" customHeight="1">
      <c r="A27" s="21">
        <v>40120.820925925924</v>
      </c>
      <c r="B27" s="25">
        <v>-5.1000000000001933E-2</v>
      </c>
      <c r="C27" s="66">
        <v>0.82092592592592595</v>
      </c>
      <c r="D27" s="67">
        <v>-5.1000000000001933E-2</v>
      </c>
      <c r="E27" s="65">
        <v>-1.7817153135935466</v>
      </c>
      <c r="F27" s="57">
        <f ca="1">IF(CELL("type",Adjustments!$T27) = "v",(Adjustments!$C27+Adjustments!$F27+Adjustments!$I27+Adjustments!$L27+Adjustments!$Q27),0)</f>
        <v>0</v>
      </c>
      <c r="G27" s="65">
        <v>32.16615835825602</v>
      </c>
      <c r="H27" s="57">
        <f ca="1">IF(CELL("type",Adjustments!$T27) = "v",(Adjustments!$D27+Adjustments!$G27+Adjustments!$J27+Adjustments!$M27+Adjustments!$O27*10*'Data Entry'!$D27+Adjustments!$R27),0)</f>
        <v>0</v>
      </c>
      <c r="I27" s="57">
        <f t="shared" ca="1" si="0"/>
        <v>-66.564458180094661</v>
      </c>
      <c r="J27" s="69" t="s">
        <v>22</v>
      </c>
      <c r="K27" s="43">
        <f t="shared" ca="1" si="1"/>
        <v>33.947873671849564</v>
      </c>
      <c r="L27" s="5"/>
      <c r="M27" s="31"/>
      <c r="O27" s="65">
        <v>2550.655029296875</v>
      </c>
      <c r="P27" s="65">
        <v>2549.131388346354</v>
      </c>
      <c r="Q27" s="71"/>
      <c r="AH27">
        <v>-5.1000000000001933E-2</v>
      </c>
      <c r="AI27">
        <v>33.947873671849564</v>
      </c>
      <c r="AL27" s="104" t="s">
        <v>71</v>
      </c>
      <c r="AM27" s="104"/>
      <c r="AN27" s="104"/>
      <c r="AO27" s="104"/>
      <c r="AP27" s="104"/>
      <c r="AQ27" s="89"/>
      <c r="AR27" s="89"/>
      <c r="AS27" s="89"/>
      <c r="AT27" s="89"/>
      <c r="AU27" s="89"/>
      <c r="AV27" s="88"/>
    </row>
    <row r="28" spans="1:48" ht="15.75" customHeight="1">
      <c r="A28" s="23"/>
      <c r="C28" s="66"/>
      <c r="D28" s="67"/>
      <c r="E28" s="65"/>
      <c r="F28" s="57">
        <f ca="1">IF(CELL("type",Adjustments!$T28) = "v",(Adjustments!$C28+Adjustments!$F28+Adjustments!$I28+Adjustments!$L28+Adjustments!$Q28),0)</f>
        <v>0</v>
      </c>
      <c r="G28" s="65"/>
      <c r="H28" s="57">
        <f ca="1">IF(CELL("type",Adjustments!$T28) = "v",(Adjustments!$D28+Adjustments!$G28+Adjustments!$J28+Adjustments!$M28+Adjustments!$O28*10*'Data Entry'!$D28+Adjustments!$R28),0)</f>
        <v>0</v>
      </c>
      <c r="I28" s="57" t="str">
        <f t="shared" ca="1" si="0"/>
        <v/>
      </c>
      <c r="J28" s="69" t="s">
        <v>22</v>
      </c>
      <c r="K28" s="43" t="str">
        <f t="shared" ca="1" si="1"/>
        <v/>
      </c>
      <c r="L28" s="11"/>
      <c r="O28" s="65"/>
      <c r="P28" s="65"/>
      <c r="Q28" s="71"/>
      <c r="AH28">
        <v>-0.1</v>
      </c>
      <c r="AI28">
        <v>100</v>
      </c>
      <c r="AL28" s="104" t="s">
        <v>122</v>
      </c>
      <c r="AM28" s="104"/>
      <c r="AN28" s="104"/>
      <c r="AO28" s="104"/>
      <c r="AP28" s="104"/>
      <c r="AQ28" s="89"/>
      <c r="AR28" s="89"/>
      <c r="AS28" s="89"/>
      <c r="AT28" s="89"/>
      <c r="AU28" s="89"/>
      <c r="AV28" s="88"/>
    </row>
    <row r="29" spans="1:48" ht="15.75" customHeight="1">
      <c r="A29" s="23"/>
      <c r="C29" s="66"/>
      <c r="D29" s="67"/>
      <c r="E29" s="65"/>
      <c r="F29" s="57">
        <f ca="1">IF(CELL("type",Adjustments!$T29) = "v",(Adjustments!$C29+Adjustments!$F29+Adjustments!$I29+Adjustments!$L29+Adjustments!$Q29),0)</f>
        <v>0</v>
      </c>
      <c r="G29" s="65"/>
      <c r="H29" s="57">
        <f ca="1">IF(CELL("type",Adjustments!$T29) = "v",(Adjustments!$D29+Adjustments!$G29+Adjustments!$J29+Adjustments!$M29+Adjustments!$O29*10*'Data Entry'!$D29+Adjustments!$R29),0)</f>
        <v>0</v>
      </c>
      <c r="I29" s="57" t="str">
        <f t="shared" ca="1" si="0"/>
        <v/>
      </c>
      <c r="J29" s="69" t="s">
        <v>22</v>
      </c>
      <c r="K29" s="43" t="str">
        <f t="shared" ca="1" si="1"/>
        <v/>
      </c>
      <c r="N29" s="31"/>
      <c r="O29" s="65"/>
      <c r="P29" s="65"/>
      <c r="Q29" s="71"/>
      <c r="AL29" s="104" t="s">
        <v>72</v>
      </c>
      <c r="AM29" s="104"/>
      <c r="AN29" s="104"/>
      <c r="AO29" s="104"/>
      <c r="AP29" s="104"/>
      <c r="AQ29" s="89"/>
      <c r="AR29" s="89"/>
      <c r="AS29" s="89"/>
      <c r="AT29" s="89"/>
      <c r="AU29" s="89"/>
      <c r="AV29" s="88"/>
    </row>
    <row r="30" spans="1:48" ht="15.75" customHeight="1">
      <c r="A30" s="21"/>
      <c r="B30" s="25"/>
      <c r="C30" s="66"/>
      <c r="D30" s="67"/>
      <c r="E30" s="65"/>
      <c r="F30" s="57">
        <f ca="1">IF(CELL("type",Adjustments!$T30) = "v",(Adjustments!$C30+Adjustments!$F30+Adjustments!$I30+Adjustments!$L30+Adjustments!$Q30),0)</f>
        <v>0</v>
      </c>
      <c r="G30" s="65"/>
      <c r="H30" s="57">
        <f ca="1">IF(CELL("type",Adjustments!$T30) = "v",(Adjustments!$D30+Adjustments!$G30+Adjustments!$J30+Adjustments!$M30+Adjustments!$O30*10*'Data Entry'!$D30+Adjustments!$R30),0)</f>
        <v>0</v>
      </c>
      <c r="I30" s="57" t="str">
        <f t="shared" ca="1" si="0"/>
        <v/>
      </c>
      <c r="J30" s="69" t="s">
        <v>22</v>
      </c>
      <c r="K30" s="43" t="str">
        <f t="shared" ca="1" si="1"/>
        <v/>
      </c>
      <c r="L30" t="s">
        <v>10</v>
      </c>
      <c r="M30" s="31" t="s">
        <v>48</v>
      </c>
      <c r="N30" s="3"/>
      <c r="O30" s="65"/>
      <c r="P30" s="65"/>
      <c r="Q30" s="71"/>
      <c r="AL30" s="104" t="s">
        <v>73</v>
      </c>
      <c r="AM30" s="104"/>
      <c r="AN30" s="104"/>
      <c r="AO30" s="104"/>
      <c r="AP30" s="104"/>
      <c r="AQ30" s="89"/>
      <c r="AR30" s="89"/>
      <c r="AS30" s="89"/>
      <c r="AT30" s="89"/>
      <c r="AU30" s="89"/>
      <c r="AV30" s="88"/>
    </row>
    <row r="31" spans="1:48" ht="16.5" customHeight="1" thickBot="1">
      <c r="A31" s="21"/>
      <c r="B31" s="25"/>
      <c r="C31" s="66"/>
      <c r="D31" s="67"/>
      <c r="E31" s="65"/>
      <c r="F31" s="57">
        <f ca="1">IF(CELL("type",Adjustments!$T31) = "v",(Adjustments!$C31+Adjustments!$F31+Adjustments!$I31+Adjustments!$L31+Adjustments!$Q31),0)</f>
        <v>0</v>
      </c>
      <c r="G31" s="65"/>
      <c r="H31" s="57">
        <f ca="1">IF(CELL("type",Adjustments!$T31) = "v",(Adjustments!$D31+Adjustments!$G31+Adjustments!$J31+Adjustments!$M31+Adjustments!$O31*10*'Data Entry'!$D31+Adjustments!$R31),0)</f>
        <v>0</v>
      </c>
      <c r="I31" s="57" t="str">
        <f t="shared" ca="1" si="0"/>
        <v/>
      </c>
      <c r="J31" s="69" t="s">
        <v>22</v>
      </c>
      <c r="K31" s="43" t="str">
        <f t="shared" ca="1" si="1"/>
        <v/>
      </c>
      <c r="L31" s="72">
        <v>-15.8</v>
      </c>
      <c r="M31" s="3" t="str">
        <f>L7&amp;" Frequency Response Obligation (FRO)"</f>
        <v>2010 Frequency Response Obligation (FRO)</v>
      </c>
      <c r="O31" s="65"/>
      <c r="P31" s="65"/>
      <c r="Q31" s="71"/>
      <c r="AL31" s="104" t="s">
        <v>74</v>
      </c>
      <c r="AM31" s="104"/>
      <c r="AN31" s="104"/>
      <c r="AO31" s="104"/>
      <c r="AP31" s="104"/>
      <c r="AQ31" s="89"/>
      <c r="AR31" s="89"/>
      <c r="AS31" s="89"/>
      <c r="AT31" s="89"/>
      <c r="AU31" s="89"/>
      <c r="AV31" s="88"/>
    </row>
    <row r="32" spans="1:48" ht="25.5" customHeight="1">
      <c r="A32" s="23"/>
      <c r="C32" s="66"/>
      <c r="D32" s="67"/>
      <c r="E32" s="68"/>
      <c r="F32" s="57">
        <f ca="1">IF(CELL("type",Adjustments!$T32) = "v",(Adjustments!$C32+Adjustments!$F32+Adjustments!$I32+Adjustments!$L32+Adjustments!$Q32),0)</f>
        <v>0</v>
      </c>
      <c r="G32" s="65"/>
      <c r="H32" s="57">
        <f ca="1">IF(CELL("type",Adjustments!$T32) = "v",(Adjustments!$D32+Adjustments!$G32+Adjustments!$J32+Adjustments!$M32+Adjustments!$O32*10*'Data Entry'!$D32+Adjustments!$R32),0)</f>
        <v>0</v>
      </c>
      <c r="I32" s="57" t="str">
        <f t="shared" ca="1" si="0"/>
        <v/>
      </c>
      <c r="J32" s="69" t="s">
        <v>22</v>
      </c>
      <c r="K32" s="43" t="str">
        <f t="shared" ca="1" si="1"/>
        <v/>
      </c>
      <c r="L32" s="26">
        <f ca="1">MIN(L34,((-L15-L14)/2)*$K$3/100,L31)</f>
        <v>-28.496000000000002</v>
      </c>
      <c r="M32" s="45" t="str">
        <f>L7&amp;" Frequency Bias Setting - (minimum of FRM, next year's FRO, or "&amp;K3&amp;"% of Projected Peak [Load + Gen]/2)"</f>
        <v>2010 Frequency Bias Setting - (minimum of FRM, next year's FRO, or 0.8% of Projected Peak [Load + Gen]/2)</v>
      </c>
      <c r="O32" s="65"/>
      <c r="P32" s="65"/>
      <c r="Q32" s="71"/>
      <c r="AL32" s="104" t="s">
        <v>75</v>
      </c>
      <c r="AM32" s="104"/>
      <c r="AN32" s="104"/>
      <c r="AO32" s="104"/>
      <c r="AP32" s="104"/>
      <c r="AQ32" s="89"/>
      <c r="AR32" s="89"/>
      <c r="AS32" s="89"/>
      <c r="AT32" s="89"/>
      <c r="AU32" s="89"/>
      <c r="AV32" s="88"/>
    </row>
    <row r="33" spans="1:48" ht="15.75" customHeight="1">
      <c r="A33" s="23"/>
      <c r="C33" s="66"/>
      <c r="D33" s="67"/>
      <c r="E33" s="68"/>
      <c r="F33" s="57">
        <f ca="1">IF(CELL("type",Adjustments!$T33) = "v",(Adjustments!$C33+Adjustments!$F33+Adjustments!$I33+Adjustments!$L33+Adjustments!$Q33),0)</f>
        <v>0</v>
      </c>
      <c r="G33" s="65"/>
      <c r="H33" s="57">
        <f ca="1">IF(CELL("type",Adjustments!$T33) = "v",(Adjustments!$D33+Adjustments!$G33+Adjustments!$J33+Adjustments!$M33+Adjustments!$O33*10*'Data Entry'!$D33+Adjustments!$R33),0)</f>
        <v>0</v>
      </c>
      <c r="I33" s="57" t="str">
        <f t="shared" ca="1" si="0"/>
        <v/>
      </c>
      <c r="J33" s="69" t="s">
        <v>22</v>
      </c>
      <c r="K33" s="43" t="str">
        <f t="shared" ca="1" si="1"/>
        <v/>
      </c>
      <c r="L33" s="46"/>
      <c r="M33" s="47"/>
      <c r="O33" s="65"/>
      <c r="P33" s="65"/>
      <c r="Q33" s="71"/>
      <c r="AI33" t="s">
        <v>22</v>
      </c>
      <c r="AL33" s="104" t="s">
        <v>123</v>
      </c>
      <c r="AM33" s="104"/>
      <c r="AN33" s="104"/>
      <c r="AO33" s="104"/>
      <c r="AP33" s="104"/>
      <c r="AQ33" s="89"/>
      <c r="AR33" s="89"/>
      <c r="AS33" s="89"/>
      <c r="AT33" s="89"/>
      <c r="AU33" s="89"/>
      <c r="AV33" s="88"/>
    </row>
    <row r="34" spans="1:48" ht="16.5" customHeight="1" thickBot="1">
      <c r="A34" s="21"/>
      <c r="B34" s="25"/>
      <c r="C34" s="66"/>
      <c r="D34" s="67"/>
      <c r="E34" s="65"/>
      <c r="F34" s="57">
        <f ca="1">IF(CELL("type",Adjustments!$T34) = "v",(Adjustments!$C34+Adjustments!$F34+Adjustments!$I34+Adjustments!$L34+Adjustments!$Q34),0)</f>
        <v>0</v>
      </c>
      <c r="G34" s="65"/>
      <c r="H34" s="57">
        <f ca="1">IF(CELL("type",Adjustments!$T34) = "v",(Adjustments!$D34+Adjustments!$G34+Adjustments!$J34+Adjustments!$M34+Adjustments!$O34*10*'Data Entry'!$D34+Adjustments!$R34),0)</f>
        <v>0</v>
      </c>
      <c r="I34" s="57" t="str">
        <f t="shared" ca="1" si="0"/>
        <v/>
      </c>
      <c r="J34" s="69" t="s">
        <v>22</v>
      </c>
      <c r="K34" s="43" t="str">
        <f t="shared" ca="1" si="1"/>
        <v/>
      </c>
      <c r="L34" s="27">
        <f ca="1">MEDIAN(I4:I39)</f>
        <v>-20.120678033000367</v>
      </c>
      <c r="M34" s="48" t="str">
        <f>L18&amp;" FRM - Median Frequency Response (MW/0.1Hz)"</f>
        <v>2009 FRM - Median Frequency Response (MW/0.1Hz)</v>
      </c>
      <c r="O34" s="65"/>
      <c r="P34" s="65"/>
      <c r="Q34" s="71"/>
      <c r="AI34" t="s">
        <v>94</v>
      </c>
      <c r="AL34" s="104" t="s">
        <v>124</v>
      </c>
      <c r="AM34" s="104"/>
      <c r="AN34" s="104"/>
      <c r="AO34" s="104"/>
      <c r="AP34" s="104"/>
      <c r="AQ34" s="89"/>
      <c r="AR34" s="89"/>
      <c r="AS34" s="89"/>
      <c r="AT34" s="89"/>
      <c r="AU34" s="89"/>
      <c r="AV34" s="88"/>
    </row>
    <row r="35" spans="1:48" ht="15.75" customHeight="1">
      <c r="A35" s="21"/>
      <c r="B35" s="25"/>
      <c r="C35" s="66"/>
      <c r="D35" s="67"/>
      <c r="E35" s="65"/>
      <c r="F35" s="57">
        <f ca="1">IF(CELL("type",Adjustments!$T35) = "v",(Adjustments!$C35+Adjustments!$F35+Adjustments!$I35+Adjustments!$L35+Adjustments!$Q35),0)</f>
        <v>0</v>
      </c>
      <c r="G35" s="65"/>
      <c r="H35" s="57">
        <f ca="1">IF(CELL("type",Adjustments!$T35) = "v",(Adjustments!$D35+Adjustments!$G35+Adjustments!$J35+Adjustments!$M35+Adjustments!$O35*10*'Data Entry'!$D35+Adjustments!$R35),0)</f>
        <v>0</v>
      </c>
      <c r="I35" s="57" t="str">
        <f t="shared" ca="1" si="0"/>
        <v/>
      </c>
      <c r="J35" s="69" t="s">
        <v>22</v>
      </c>
      <c r="K35" s="43" t="str">
        <f t="shared" ca="1" si="1"/>
        <v/>
      </c>
      <c r="O35" s="65"/>
      <c r="P35" s="65"/>
      <c r="Q35" s="71"/>
      <c r="AL35" s="104" t="s">
        <v>76</v>
      </c>
      <c r="AM35" s="104"/>
      <c r="AN35" s="104"/>
      <c r="AO35" s="104"/>
      <c r="AP35" s="104"/>
      <c r="AQ35" s="89"/>
      <c r="AR35" s="89"/>
      <c r="AS35" s="89"/>
      <c r="AT35" s="89"/>
      <c r="AU35" s="89"/>
      <c r="AV35" s="88"/>
    </row>
    <row r="36" spans="1:48" ht="15.75" customHeight="1">
      <c r="A36" s="23"/>
      <c r="C36" s="66"/>
      <c r="D36" s="67"/>
      <c r="E36" s="68"/>
      <c r="F36" s="57">
        <f ca="1">IF(CELL("type",Adjustments!$T36) = "v",(Adjustments!$C36+Adjustments!$F36+Adjustments!$I36+Adjustments!$L36+Adjustments!$Q36),0)</f>
        <v>0</v>
      </c>
      <c r="G36" s="65"/>
      <c r="H36" s="57">
        <f ca="1">IF(CELL("type",Adjustments!$T36) = "v",(Adjustments!$D36+Adjustments!$G36+Adjustments!$J36+Adjustments!$M36+Adjustments!$O36*10*'Data Entry'!$D36+Adjustments!$R36),0)</f>
        <v>0</v>
      </c>
      <c r="I36" s="57" t="str">
        <f t="shared" ca="1" si="0"/>
        <v/>
      </c>
      <c r="J36" s="69" t="s">
        <v>22</v>
      </c>
      <c r="K36" s="43" t="str">
        <f t="shared" ca="1" si="1"/>
        <v/>
      </c>
      <c r="O36" s="65"/>
      <c r="P36" s="65"/>
      <c r="Q36" s="71"/>
      <c r="AL36" s="104" t="s">
        <v>77</v>
      </c>
      <c r="AM36" s="104"/>
      <c r="AN36" s="104"/>
      <c r="AO36" s="104"/>
      <c r="AP36" s="104"/>
      <c r="AQ36" s="89"/>
      <c r="AR36" s="89"/>
      <c r="AS36" s="89"/>
      <c r="AT36" s="89"/>
      <c r="AU36" s="89"/>
      <c r="AV36" s="88"/>
    </row>
    <row r="37" spans="1:48" ht="15.75" customHeight="1">
      <c r="A37" s="23"/>
      <c r="C37" s="66"/>
      <c r="D37" s="67"/>
      <c r="E37" s="68"/>
      <c r="F37" s="57">
        <f ca="1">IF(CELL("type",Adjustments!$T37) = "v",(Adjustments!$C37+Adjustments!$F37+Adjustments!$I37+Adjustments!$L37+Adjustments!$Q37),0)</f>
        <v>0</v>
      </c>
      <c r="G37" s="65"/>
      <c r="H37" s="57">
        <f ca="1">IF(CELL("type",Adjustments!$T37) = "v",(Adjustments!$D37+Adjustments!$G37+Adjustments!$J37+Adjustments!$M37+Adjustments!$O37*10*'Data Entry'!$D37+Adjustments!$R37),0)</f>
        <v>0</v>
      </c>
      <c r="I37" s="57" t="str">
        <f t="shared" ca="1" si="0"/>
        <v/>
      </c>
      <c r="J37" s="69" t="s">
        <v>22</v>
      </c>
      <c r="K37" s="43" t="str">
        <f t="shared" ca="1" si="1"/>
        <v/>
      </c>
      <c r="O37" s="65"/>
      <c r="P37" s="65"/>
      <c r="Q37" s="71"/>
      <c r="AL37" s="104" t="s">
        <v>125</v>
      </c>
      <c r="AM37" s="104"/>
      <c r="AN37" s="104"/>
      <c r="AO37" s="104"/>
      <c r="AP37" s="104"/>
      <c r="AQ37" s="89"/>
      <c r="AR37" s="89"/>
      <c r="AS37" s="89"/>
      <c r="AT37" s="89"/>
      <c r="AU37" s="89"/>
      <c r="AV37" s="88"/>
    </row>
    <row r="38" spans="1:48" ht="15.75" customHeight="1">
      <c r="A38" s="21"/>
      <c r="B38" s="25"/>
      <c r="C38" s="66"/>
      <c r="D38" s="67"/>
      <c r="E38" s="65"/>
      <c r="F38" s="57">
        <f ca="1">IF(CELL("type",Adjustments!$T38) = "v",(Adjustments!$C38+Adjustments!$F38+Adjustments!$I38+Adjustments!$L38+Adjustments!$Q38),0)</f>
        <v>0</v>
      </c>
      <c r="G38" s="65"/>
      <c r="H38" s="57">
        <f ca="1">IF(CELL("type",Adjustments!$T38) = "v",(Adjustments!$D38+Adjustments!$G38+Adjustments!$J38+Adjustments!$M38+Adjustments!$O38*10*'Data Entry'!$D38+Adjustments!$R38),0)</f>
        <v>0</v>
      </c>
      <c r="I38" s="57" t="str">
        <f t="shared" ca="1" si="0"/>
        <v/>
      </c>
      <c r="J38" s="69" t="s">
        <v>22</v>
      </c>
      <c r="K38" s="43" t="str">
        <f t="shared" ca="1" si="1"/>
        <v/>
      </c>
      <c r="O38" s="65"/>
      <c r="P38" s="65"/>
      <c r="Q38" s="71"/>
      <c r="AL38" s="104" t="s">
        <v>78</v>
      </c>
      <c r="AM38" s="104"/>
      <c r="AN38" s="104"/>
      <c r="AO38" s="104"/>
      <c r="AP38" s="104"/>
      <c r="AQ38" s="89"/>
      <c r="AR38" s="89"/>
      <c r="AS38" s="89"/>
      <c r="AT38" s="89"/>
      <c r="AU38" s="89"/>
      <c r="AV38" s="88"/>
    </row>
    <row r="39" spans="1:48" ht="15.75" customHeight="1">
      <c r="A39" s="21"/>
      <c r="B39" s="25"/>
      <c r="C39" s="66"/>
      <c r="D39" s="67"/>
      <c r="E39" s="65"/>
      <c r="F39" s="57">
        <f ca="1">IF(CELL("type",Adjustments!$T36) = "v",(Adjustments!$C36+Adjustments!$F36+Adjustments!$I36+Adjustments!$L36+Adjustments!$Q36),0)</f>
        <v>0</v>
      </c>
      <c r="G39" s="65"/>
      <c r="H39" s="57">
        <f ca="1">IF(CELL("type",Adjustments!$T39) = "v",(Adjustments!$D39+Adjustments!$G39+Adjustments!$J39+Adjustments!$M39+Adjustments!$O39*10*'Data Entry'!$D39+Adjustments!$R39),0)</f>
        <v>0</v>
      </c>
      <c r="I39" s="57" t="str">
        <f t="shared" ca="1" si="0"/>
        <v/>
      </c>
      <c r="J39" s="69" t="s">
        <v>22</v>
      </c>
      <c r="K39" s="43" t="str">
        <f t="shared" ca="1" si="1"/>
        <v/>
      </c>
      <c r="O39" s="65"/>
      <c r="P39" s="65"/>
      <c r="Q39" s="71"/>
      <c r="AL39" s="104" t="s">
        <v>126</v>
      </c>
      <c r="AM39" s="104"/>
      <c r="AN39" s="104"/>
      <c r="AO39" s="104"/>
      <c r="AP39" s="104"/>
      <c r="AQ39" s="89"/>
      <c r="AR39" s="89"/>
      <c r="AS39" s="89"/>
      <c r="AT39" s="89"/>
      <c r="AU39" s="89"/>
      <c r="AV39" s="88"/>
    </row>
    <row r="40" spans="1:48" ht="15.75" customHeight="1">
      <c r="AL40" s="104" t="s">
        <v>127</v>
      </c>
      <c r="AM40" s="104"/>
      <c r="AN40" s="104"/>
      <c r="AO40" s="104"/>
      <c r="AP40" s="104"/>
      <c r="AQ40" s="89"/>
      <c r="AR40" s="89"/>
      <c r="AS40" s="89"/>
      <c r="AT40" s="89"/>
      <c r="AU40" s="89"/>
      <c r="AV40" s="88"/>
    </row>
    <row r="41" spans="1:48" ht="16.5" customHeight="1" thickBot="1">
      <c r="B41" s="5"/>
      <c r="C41" s="5"/>
      <c r="D41" s="5"/>
      <c r="E41" s="41" t="s">
        <v>50</v>
      </c>
      <c r="F41" s="41"/>
      <c r="G41" s="42"/>
      <c r="H41" s="42"/>
      <c r="I41" s="42"/>
      <c r="J41" s="32"/>
      <c r="K41" s="32"/>
      <c r="M41" s="31"/>
      <c r="AL41" s="104" t="s">
        <v>79</v>
      </c>
      <c r="AM41" s="104"/>
      <c r="AN41" s="104"/>
      <c r="AO41" s="104"/>
      <c r="AP41" s="104"/>
      <c r="AQ41" s="89"/>
      <c r="AR41" s="89"/>
      <c r="AS41" s="89"/>
      <c r="AT41" s="89"/>
      <c r="AU41" s="89"/>
      <c r="AV41" s="88"/>
    </row>
    <row r="42" spans="1:48" ht="16.5" customHeight="1" thickBot="1">
      <c r="A42" s="30" t="s">
        <v>40</v>
      </c>
      <c r="B42" s="33" t="s">
        <v>41</v>
      </c>
      <c r="C42" s="44" t="s">
        <v>42</v>
      </c>
      <c r="D42" s="44" t="s">
        <v>43</v>
      </c>
      <c r="E42" s="44" t="s">
        <v>44</v>
      </c>
      <c r="F42" s="44" t="s">
        <v>45</v>
      </c>
      <c r="G42" s="44" t="s">
        <v>46</v>
      </c>
      <c r="H42" s="44" t="s">
        <v>53</v>
      </c>
      <c r="I42" s="44" t="s">
        <v>54</v>
      </c>
      <c r="J42" s="44" t="s">
        <v>55</v>
      </c>
      <c r="K42" s="44" t="s">
        <v>56</v>
      </c>
      <c r="AL42" s="104" t="s">
        <v>128</v>
      </c>
      <c r="AM42" s="104"/>
      <c r="AN42" s="104"/>
      <c r="AO42" s="104"/>
      <c r="AP42" s="104"/>
      <c r="AQ42" s="89"/>
      <c r="AR42" s="89"/>
      <c r="AS42" s="89"/>
      <c r="AT42" s="89"/>
      <c r="AU42" s="89"/>
      <c r="AV42" s="88"/>
    </row>
    <row r="43" spans="1:48" ht="16.5" customHeight="1" thickBot="1">
      <c r="A43" s="28"/>
      <c r="B43" s="34"/>
      <c r="C43" s="34"/>
      <c r="D43" s="34"/>
      <c r="E43" s="4"/>
      <c r="F43" s="8"/>
      <c r="G43" s="4"/>
      <c r="H43" s="8"/>
      <c r="I43" s="6"/>
      <c r="J43" s="9"/>
      <c r="K43" s="34"/>
      <c r="AL43" s="104" t="s">
        <v>129</v>
      </c>
      <c r="AM43" s="104"/>
      <c r="AN43" s="104"/>
      <c r="AO43" s="104"/>
      <c r="AP43" s="104"/>
      <c r="AQ43" s="89"/>
      <c r="AR43" s="89"/>
      <c r="AS43" s="89"/>
      <c r="AT43" s="89"/>
      <c r="AU43" s="89"/>
      <c r="AV43" s="88"/>
    </row>
    <row r="44" spans="1:48" ht="15.75" customHeight="1">
      <c r="A44" s="29" t="s">
        <v>20</v>
      </c>
      <c r="B44" s="35"/>
      <c r="C44" s="35"/>
      <c r="D44" s="35"/>
      <c r="E44" s="4" t="s">
        <v>24</v>
      </c>
      <c r="F44" s="8" t="s">
        <v>80</v>
      </c>
      <c r="G44" s="4"/>
      <c r="H44" s="8" t="s">
        <v>81</v>
      </c>
      <c r="I44" s="6" t="s">
        <v>39</v>
      </c>
      <c r="J44" s="9"/>
      <c r="K44" s="36"/>
      <c r="AL44" s="104" t="s">
        <v>130</v>
      </c>
      <c r="AM44" s="104"/>
      <c r="AN44" s="104"/>
      <c r="AO44" s="104"/>
      <c r="AP44" s="104"/>
      <c r="AQ44" s="89"/>
      <c r="AR44" s="89"/>
      <c r="AS44" s="89"/>
      <c r="AT44" s="89"/>
      <c r="AU44" s="89"/>
      <c r="AV44" s="88"/>
    </row>
    <row r="45" spans="1:48" ht="13.5" thickBot="1">
      <c r="A45" s="29" t="s">
        <v>21</v>
      </c>
      <c r="B45" s="35" t="s">
        <v>9</v>
      </c>
      <c r="C45" s="35"/>
      <c r="D45" s="35"/>
      <c r="E45" s="7" t="s">
        <v>49</v>
      </c>
      <c r="F45" s="9" t="s">
        <v>60</v>
      </c>
      <c r="G45" s="51"/>
      <c r="H45" s="54" t="s">
        <v>60</v>
      </c>
      <c r="I45" s="7" t="s">
        <v>23</v>
      </c>
      <c r="J45" s="9"/>
      <c r="K45" s="35"/>
    </row>
    <row r="46" spans="1:48">
      <c r="A46" s="38">
        <v>39797.637499999997</v>
      </c>
      <c r="B46" s="2">
        <v>-0.1</v>
      </c>
      <c r="E46" s="65">
        <v>600</v>
      </c>
      <c r="F46" s="82"/>
      <c r="G46" s="65"/>
      <c r="H46" s="82"/>
      <c r="I46" s="57">
        <f>E46/(B46*10)</f>
        <v>-600</v>
      </c>
      <c r="J46" s="65"/>
      <c r="K46" s="32"/>
    </row>
    <row r="47" spans="1:48">
      <c r="A47"/>
      <c r="B47" s="32"/>
      <c r="C47" s="32"/>
      <c r="D47" s="32"/>
      <c r="E47" s="32"/>
      <c r="F47" s="32"/>
      <c r="G47" s="32"/>
      <c r="H47" s="32"/>
      <c r="I47" s="32"/>
      <c r="J47" s="32"/>
      <c r="K47" s="32"/>
    </row>
    <row r="48" spans="1:48" ht="15.75">
      <c r="A48"/>
      <c r="B48" s="32"/>
      <c r="C48" s="32"/>
      <c r="D48" s="32"/>
      <c r="E48" s="32"/>
      <c r="F48" s="32"/>
      <c r="G48" s="32"/>
      <c r="H48" s="32"/>
      <c r="I48" s="32"/>
      <c r="J48" s="32"/>
      <c r="L48" s="55"/>
      <c r="Q48" s="59"/>
    </row>
    <row r="49" spans="1:17" ht="15.75">
      <c r="A49"/>
      <c r="B49"/>
      <c r="C49"/>
      <c r="D49"/>
      <c r="L49" s="55"/>
      <c r="Q49" s="59"/>
    </row>
    <row r="50" spans="1:17" ht="15.75">
      <c r="A50"/>
      <c r="B50"/>
      <c r="C50"/>
      <c r="D50"/>
      <c r="L50" s="55"/>
      <c r="Q50" s="59"/>
    </row>
    <row r="51" spans="1:17" ht="15.75">
      <c r="L51" s="55"/>
      <c r="Q51" s="59"/>
    </row>
    <row r="52" spans="1:17" ht="15.75">
      <c r="L52" s="56"/>
      <c r="Q52" s="60"/>
    </row>
    <row r="53" spans="1:17" ht="15.75">
      <c r="L53" s="55"/>
      <c r="Q53" s="59"/>
    </row>
    <row r="54" spans="1:17" ht="15.75">
      <c r="Q54" s="85"/>
    </row>
    <row r="55" spans="1:17" ht="15.75">
      <c r="A55" s="16" t="s">
        <v>10</v>
      </c>
      <c r="Q55" s="85"/>
    </row>
    <row r="56" spans="1:17" ht="15.75">
      <c r="B56" s="2" t="s">
        <v>10</v>
      </c>
      <c r="Q56" s="85"/>
    </row>
    <row r="57" spans="1:17" ht="15.75">
      <c r="B57" s="2" t="s">
        <v>10</v>
      </c>
      <c r="Q57" s="85"/>
    </row>
    <row r="58" spans="1:17" ht="15.75">
      <c r="B58" s="2" t="s">
        <v>10</v>
      </c>
      <c r="Q58" s="87"/>
    </row>
    <row r="59" spans="1:17" ht="15.75">
      <c r="Q59" s="85"/>
    </row>
    <row r="60" spans="1:17" ht="15.75">
      <c r="Q60" s="85"/>
    </row>
    <row r="61" spans="1:17" ht="15.75">
      <c r="Q61" s="85"/>
    </row>
    <row r="62" spans="1:17" ht="15.75">
      <c r="Q62" s="85"/>
    </row>
    <row r="63" spans="1:17" ht="15.75">
      <c r="Q63" s="85"/>
    </row>
    <row r="64" spans="1:17" ht="15.75">
      <c r="Q64" s="85"/>
    </row>
    <row r="65" spans="17:17" ht="15.75">
      <c r="Q65" s="85"/>
    </row>
    <row r="66" spans="17:17" ht="15.75">
      <c r="Q66" s="85"/>
    </row>
    <row r="67" spans="17:17" ht="15.75">
      <c r="Q67" s="85"/>
    </row>
    <row r="68" spans="17:17" ht="15.75">
      <c r="Q68" s="85"/>
    </row>
    <row r="69" spans="17:17" ht="15.75">
      <c r="Q69" s="85"/>
    </row>
    <row r="70" spans="17:17" ht="15.75">
      <c r="Q70" s="85"/>
    </row>
    <row r="71" spans="17:17" ht="15.75">
      <c r="Q71" s="85"/>
    </row>
    <row r="72" spans="17:17" ht="15.75">
      <c r="Q72" s="85"/>
    </row>
    <row r="73" spans="17:17" ht="15.75">
      <c r="Q73" s="85"/>
    </row>
    <row r="74" spans="17:17" ht="15.75">
      <c r="Q74" s="85"/>
    </row>
    <row r="75" spans="17:17" ht="15.75">
      <c r="Q75" s="85"/>
    </row>
    <row r="76" spans="17:17" ht="15.75">
      <c r="Q76" s="85"/>
    </row>
    <row r="77" spans="17:17" ht="15.75">
      <c r="Q77" s="85"/>
    </row>
    <row r="78" spans="17:17" ht="15.75">
      <c r="Q78" s="85"/>
    </row>
    <row r="79" spans="17:17" ht="15.75">
      <c r="Q79" s="85"/>
    </row>
    <row r="80" spans="17:17" ht="15.75">
      <c r="Q80" s="85"/>
    </row>
    <row r="81" spans="17:17" ht="15.75">
      <c r="Q81" s="85"/>
    </row>
    <row r="82" spans="17:17" ht="15.75">
      <c r="Q82" s="85"/>
    </row>
    <row r="83" spans="17:17" ht="15.75">
      <c r="Q83" s="85"/>
    </row>
    <row r="84" spans="17:17" ht="15.75">
      <c r="Q84" s="85"/>
    </row>
    <row r="85" spans="17:17" ht="15.75">
      <c r="Q85" s="85"/>
    </row>
    <row r="86" spans="17:17" ht="15.75">
      <c r="Q86" s="85"/>
    </row>
    <row r="87" spans="17:17" ht="15.75">
      <c r="Q87" s="85"/>
    </row>
    <row r="88" spans="17:17" ht="15.75">
      <c r="Q88" s="85"/>
    </row>
    <row r="89" spans="17:17" ht="15.75">
      <c r="Q89" s="85"/>
    </row>
    <row r="90" spans="17:17" ht="15.75">
      <c r="Q90" s="85"/>
    </row>
    <row r="91" spans="17:17">
      <c r="Q91" s="91"/>
    </row>
    <row r="92" spans="17:17">
      <c r="Q92" s="91"/>
    </row>
    <row r="93" spans="17:17">
      <c r="Q93" s="91"/>
    </row>
    <row r="94" spans="17:17">
      <c r="Q94" s="91"/>
    </row>
    <row r="95" spans="17:17">
      <c r="Q95" s="91"/>
    </row>
    <row r="96" spans="17:17">
      <c r="Q96" s="91"/>
    </row>
    <row r="97" spans="17:17">
      <c r="Q97" s="91"/>
    </row>
    <row r="98" spans="17:17">
      <c r="Q98" s="91"/>
    </row>
    <row r="99" spans="17:17">
      <c r="Q99" s="91"/>
    </row>
    <row r="100" spans="17:17">
      <c r="Q100" s="91"/>
    </row>
    <row r="101" spans="17:17">
      <c r="Q101" s="91"/>
    </row>
    <row r="102" spans="17:17">
      <c r="Q102" s="91"/>
    </row>
    <row r="103" spans="17:17">
      <c r="Q103" s="91"/>
    </row>
    <row r="104" spans="17:17">
      <c r="Q104" s="91"/>
    </row>
    <row r="105" spans="17:17">
      <c r="Q105" s="91"/>
    </row>
    <row r="106" spans="17:17">
      <c r="Q106" s="91"/>
    </row>
    <row r="107" spans="17:17">
      <c r="Q107" s="91"/>
    </row>
    <row r="108" spans="17:17">
      <c r="Q108" s="91"/>
    </row>
    <row r="109" spans="17:17">
      <c r="Q109" s="91"/>
    </row>
    <row r="110" spans="17:17">
      <c r="Q110" s="91"/>
    </row>
    <row r="111" spans="17:17">
      <c r="Q111" s="91"/>
    </row>
    <row r="112" spans="17:17">
      <c r="Q112" s="91"/>
    </row>
    <row r="113" spans="17:17">
      <c r="Q113" s="91"/>
    </row>
    <row r="114" spans="17:17">
      <c r="Q114" s="91"/>
    </row>
    <row r="115" spans="17:17">
      <c r="Q115" s="91"/>
    </row>
    <row r="116" spans="17:17">
      <c r="Q116" s="91"/>
    </row>
    <row r="117" spans="17:17">
      <c r="Q117" s="91"/>
    </row>
    <row r="118" spans="17:17">
      <c r="Q118" s="91"/>
    </row>
    <row r="119" spans="17:17">
      <c r="Q119" s="91"/>
    </row>
    <row r="120" spans="17:17">
      <c r="Q120" s="91"/>
    </row>
    <row r="121" spans="17:17">
      <c r="Q121" s="91"/>
    </row>
    <row r="122" spans="17:17">
      <c r="Q122" s="91"/>
    </row>
    <row r="123" spans="17:17">
      <c r="Q123" s="91"/>
    </row>
    <row r="124" spans="17:17">
      <c r="Q124" s="91"/>
    </row>
    <row r="125" spans="17:17">
      <c r="Q125" s="91"/>
    </row>
    <row r="126" spans="17:17">
      <c r="Q126" s="91"/>
    </row>
    <row r="127" spans="17:17">
      <c r="Q127" s="91"/>
    </row>
    <row r="128" spans="17:17">
      <c r="Q128" s="91"/>
    </row>
    <row r="129" spans="17:17">
      <c r="Q129" s="91"/>
    </row>
    <row r="130" spans="17:17">
      <c r="Q130" s="91"/>
    </row>
    <row r="131" spans="17:17">
      <c r="Q131" s="91"/>
    </row>
    <row r="132" spans="17:17">
      <c r="Q132" s="91"/>
    </row>
    <row r="133" spans="17:17">
      <c r="Q133" s="91"/>
    </row>
    <row r="134" spans="17:17">
      <c r="Q134" s="91"/>
    </row>
    <row r="135" spans="17:17">
      <c r="Q135" s="91"/>
    </row>
    <row r="136" spans="17:17">
      <c r="Q136" s="91"/>
    </row>
    <row r="137" spans="17:17">
      <c r="Q137" s="91"/>
    </row>
    <row r="138" spans="17:17">
      <c r="Q138" s="91"/>
    </row>
    <row r="139" spans="17:17">
      <c r="Q139" s="91"/>
    </row>
    <row r="140" spans="17:17">
      <c r="Q140" s="91"/>
    </row>
    <row r="141" spans="17:17">
      <c r="Q141" s="91"/>
    </row>
    <row r="142" spans="17:17">
      <c r="Q142" s="91"/>
    </row>
    <row r="143" spans="17:17">
      <c r="Q143" s="91"/>
    </row>
    <row r="144" spans="17:17">
      <c r="Q144" s="91"/>
    </row>
    <row r="145" spans="17:17">
      <c r="Q145" s="91"/>
    </row>
    <row r="146" spans="17:17">
      <c r="Q146" s="91"/>
    </row>
    <row r="147" spans="17:17">
      <c r="Q147" s="91"/>
    </row>
    <row r="148" spans="17:17">
      <c r="Q148" s="91"/>
    </row>
    <row r="149" spans="17:17">
      <c r="Q149" s="91"/>
    </row>
    <row r="150" spans="17:17">
      <c r="Q150" s="91"/>
    </row>
    <row r="151" spans="17:17">
      <c r="Q151" s="91"/>
    </row>
    <row r="152" spans="17:17">
      <c r="Q152" s="91"/>
    </row>
    <row r="153" spans="17:17">
      <c r="Q153" s="86"/>
    </row>
    <row r="154" spans="17:17">
      <c r="Q154" s="86"/>
    </row>
    <row r="155" spans="17:17">
      <c r="Q155" s="86"/>
    </row>
    <row r="156" spans="17:17">
      <c r="Q156" s="86"/>
    </row>
    <row r="157" spans="17:17">
      <c r="Q157" s="86"/>
    </row>
    <row r="158" spans="17:17">
      <c r="Q158" s="86"/>
    </row>
    <row r="159" spans="17:17">
      <c r="Q159" s="86"/>
    </row>
    <row r="160" spans="17:17">
      <c r="Q160" s="86"/>
    </row>
    <row r="161" spans="17:17">
      <c r="Q161" s="86"/>
    </row>
    <row r="162" spans="17:17">
      <c r="Q162" s="86"/>
    </row>
    <row r="163" spans="17:17">
      <c r="Q163" s="86"/>
    </row>
    <row r="164" spans="17:17">
      <c r="Q164" s="86"/>
    </row>
    <row r="165" spans="17:17">
      <c r="Q165" s="86"/>
    </row>
    <row r="166" spans="17:17">
      <c r="Q166" s="86"/>
    </row>
    <row r="167" spans="17:17">
      <c r="Q167" s="86"/>
    </row>
    <row r="168" spans="17:17">
      <c r="Q168" s="86"/>
    </row>
    <row r="169" spans="17:17">
      <c r="Q169" s="86"/>
    </row>
    <row r="170" spans="17:17">
      <c r="Q170" s="86"/>
    </row>
    <row r="171" spans="17:17">
      <c r="Q171" s="86"/>
    </row>
    <row r="172" spans="17:17">
      <c r="Q172" s="86"/>
    </row>
    <row r="173" spans="17:17">
      <c r="Q173" s="86"/>
    </row>
    <row r="174" spans="17:17">
      <c r="Q174" s="86"/>
    </row>
    <row r="175" spans="17:17">
      <c r="Q175" s="86"/>
    </row>
    <row r="176" spans="17:17">
      <c r="Q176" s="86"/>
    </row>
    <row r="177" spans="17:17">
      <c r="Q177" s="86"/>
    </row>
    <row r="178" spans="17:17">
      <c r="Q178" s="86"/>
    </row>
    <row r="179" spans="17:17">
      <c r="Q179" s="86"/>
    </row>
    <row r="180" spans="17:17">
      <c r="Q180" s="86"/>
    </row>
    <row r="181" spans="17:17">
      <c r="Q181" s="86"/>
    </row>
    <row r="182" spans="17:17">
      <c r="Q182" s="86"/>
    </row>
    <row r="183" spans="17:17">
      <c r="Q183" s="86"/>
    </row>
    <row r="184" spans="17:17">
      <c r="Q184" s="86"/>
    </row>
    <row r="185" spans="17:17">
      <c r="Q185" s="86"/>
    </row>
    <row r="186" spans="17:17">
      <c r="Q186" s="86"/>
    </row>
    <row r="187" spans="17:17">
      <c r="Q187" s="86"/>
    </row>
    <row r="188" spans="17:17">
      <c r="Q188" s="86"/>
    </row>
    <row r="189" spans="17:17">
      <c r="Q189" s="86"/>
    </row>
    <row r="190" spans="17:17">
      <c r="Q190" s="86"/>
    </row>
    <row r="191" spans="17:17">
      <c r="Q191" s="86"/>
    </row>
    <row r="192" spans="17:17">
      <c r="Q192" s="86"/>
    </row>
    <row r="193" spans="17:17">
      <c r="Q193" s="86"/>
    </row>
    <row r="194" spans="17:17">
      <c r="Q194" s="86"/>
    </row>
    <row r="195" spans="17:17">
      <c r="Q195" s="86"/>
    </row>
    <row r="196" spans="17:17">
      <c r="Q196" s="86"/>
    </row>
    <row r="197" spans="17:17">
      <c r="Q197" s="86"/>
    </row>
    <row r="198" spans="17:17">
      <c r="Q198" s="86"/>
    </row>
    <row r="199" spans="17:17">
      <c r="Q199" s="86"/>
    </row>
    <row r="200" spans="17:17">
      <c r="Q200" s="86"/>
    </row>
    <row r="201" spans="17:17">
      <c r="Q201" s="86"/>
    </row>
    <row r="202" spans="17:17">
      <c r="Q202" s="86"/>
    </row>
    <row r="203" spans="17:17">
      <c r="Q203" s="86"/>
    </row>
    <row r="204" spans="17:17">
      <c r="Q204" s="86"/>
    </row>
    <row r="205" spans="17:17">
      <c r="Q205" s="86"/>
    </row>
    <row r="206" spans="17:17">
      <c r="Q206" s="86"/>
    </row>
    <row r="207" spans="17:17">
      <c r="Q207" s="86"/>
    </row>
    <row r="208" spans="17:17">
      <c r="Q208" s="86"/>
    </row>
    <row r="209" spans="17:17">
      <c r="Q209" s="86"/>
    </row>
    <row r="210" spans="17:17">
      <c r="Q210" s="86"/>
    </row>
    <row r="211" spans="17:17">
      <c r="Q211" s="86"/>
    </row>
    <row r="212" spans="17:17">
      <c r="Q212" s="86"/>
    </row>
    <row r="213" spans="17:17">
      <c r="Q213" s="86"/>
    </row>
    <row r="214" spans="17:17">
      <c r="Q214" s="86"/>
    </row>
    <row r="215" spans="17:17">
      <c r="Q215" s="86"/>
    </row>
    <row r="216" spans="17:17">
      <c r="Q216" s="86"/>
    </row>
    <row r="217" spans="17:17">
      <c r="Q217" s="86"/>
    </row>
    <row r="218" spans="17:17">
      <c r="Q218" s="86"/>
    </row>
    <row r="219" spans="17:17">
      <c r="Q219" s="86"/>
    </row>
    <row r="220" spans="17:17">
      <c r="Q220" s="86"/>
    </row>
    <row r="221" spans="17:17">
      <c r="Q221" s="86"/>
    </row>
  </sheetData>
  <sheetProtection sheet="1" objects="1" scenarios="1"/>
  <mergeCells count="43">
    <mergeCell ref="AL42:AP42"/>
    <mergeCell ref="AL43:AP43"/>
    <mergeCell ref="AL44:AP44"/>
    <mergeCell ref="AL4:AP4"/>
    <mergeCell ref="AL5:AP5"/>
    <mergeCell ref="AL6:AP6"/>
    <mergeCell ref="AL7:AP7"/>
    <mergeCell ref="AL8:AP8"/>
    <mergeCell ref="AL9:AP9"/>
    <mergeCell ref="AL10:AP10"/>
    <mergeCell ref="AL37:AP37"/>
    <mergeCell ref="AL38:AP38"/>
    <mergeCell ref="AL39:AP39"/>
    <mergeCell ref="AL40:AP40"/>
    <mergeCell ref="AL41:AP41"/>
    <mergeCell ref="AL32:AP32"/>
    <mergeCell ref="AL35:AP35"/>
    <mergeCell ref="AL36:AP36"/>
    <mergeCell ref="AL27:AP27"/>
    <mergeCell ref="AL28:AP28"/>
    <mergeCell ref="AL29:AP29"/>
    <mergeCell ref="AL30:AP30"/>
    <mergeCell ref="AL31:AP31"/>
    <mergeCell ref="AL24:AP24"/>
    <mergeCell ref="AL25:AP25"/>
    <mergeCell ref="AL26:AP26"/>
    <mergeCell ref="AL33:AP33"/>
    <mergeCell ref="AL34:AP34"/>
    <mergeCell ref="AL19:AP19"/>
    <mergeCell ref="AL20:AP20"/>
    <mergeCell ref="AL21:AP21"/>
    <mergeCell ref="AL22:AP22"/>
    <mergeCell ref="AL23:AP23"/>
    <mergeCell ref="AL14:AP14"/>
    <mergeCell ref="AL15:AP15"/>
    <mergeCell ref="AL16:AP16"/>
    <mergeCell ref="AL17:AP17"/>
    <mergeCell ref="AL18:AP18"/>
    <mergeCell ref="AL11:AP11"/>
    <mergeCell ref="O1:P1"/>
    <mergeCell ref="D1:J1"/>
    <mergeCell ref="AL12:AP12"/>
    <mergeCell ref="AL13:AP13"/>
  </mergeCells>
  <phoneticPr fontId="2" type="noConversion"/>
  <conditionalFormatting sqref="J4:J39">
    <cfRule type="cellIs" dxfId="3" priority="33" stopIfTrue="1" operator="equal">
      <formula>"Y"</formula>
    </cfRule>
    <cfRule type="cellIs" dxfId="2" priority="34" stopIfTrue="1" operator="equal">
      <formula>"""N"""</formula>
    </cfRule>
  </conditionalFormatting>
  <conditionalFormatting sqref="I4:I39">
    <cfRule type="containsBlanks" dxfId="1" priority="35">
      <formula>LEN(TRIM(I4))=0</formula>
    </cfRule>
    <cfRule type="cellIs" dxfId="0" priority="36" operator="greaterThan">
      <formula>0</formula>
    </cfRule>
  </conditionalFormatting>
  <dataValidations count="2">
    <dataValidation type="list" allowBlank="1" showInputMessage="1" showErrorMessage="1" sqref="Q4:Q39">
      <formula1>$AL$4:$AL$44</formula1>
    </dataValidation>
    <dataValidation type="list" showInputMessage="1" showErrorMessage="1" prompt="Exclude data? _x000a__x000a_Y = Yes_x000a_N = No" sqref="J4:J39">
      <formula1>$AI$33:$AI$34</formula1>
    </dataValidation>
  </dataValidations>
  <hyperlinks>
    <hyperlink ref="M3" r:id="rId1"/>
    <hyperlink ref="L12" r:id="rId2" display="cwrishko@saskpower.com"/>
  </hyperlinks>
  <pageMargins left="0.75" right="0.75" top="1" bottom="1" header="0.5" footer="0.5"/>
  <pageSetup orientation="portrait" r:id="rId3"/>
  <headerFooter alignWithMargins="0"/>
  <legacyDrawing r:id="rId4"/>
</worksheet>
</file>

<file path=xl/worksheets/sheet2.xml><?xml version="1.0" encoding="utf-8"?>
<worksheet xmlns="http://schemas.openxmlformats.org/spreadsheetml/2006/main" xmlns:r="http://schemas.openxmlformats.org/officeDocument/2006/relationships">
  <sheetPr codeName="Sheet3"/>
  <dimension ref="A1:T55"/>
  <sheetViews>
    <sheetView zoomScale="91" zoomScaleNormal="91" workbookViewId="0">
      <selection activeCell="B1" sqref="B1"/>
    </sheetView>
  </sheetViews>
  <sheetFormatPr defaultRowHeight="12.75"/>
  <cols>
    <col min="1" max="1" width="23.28515625" bestFit="1" customWidth="1"/>
    <col min="3" max="4" width="11.140625" bestFit="1" customWidth="1"/>
    <col min="5" max="5" width="1.7109375" customWidth="1"/>
    <col min="6" max="7" width="11.140625" bestFit="1" customWidth="1"/>
    <col min="8" max="8" width="1.7109375" customWidth="1"/>
    <col min="9" max="10" width="11.140625" bestFit="1" customWidth="1"/>
    <col min="11" max="11" width="1.7109375" customWidth="1"/>
    <col min="12" max="13" width="11.140625" bestFit="1" customWidth="1"/>
    <col min="14" max="14" width="1.7109375" customWidth="1"/>
    <col min="15" max="15" width="19.140625" customWidth="1"/>
    <col min="16" max="16" width="1.7109375" customWidth="1"/>
    <col min="17" max="18" width="11.140625" bestFit="1" customWidth="1"/>
    <col min="19" max="19" width="1.7109375" customWidth="1"/>
    <col min="20" max="20" width="20.140625" customWidth="1"/>
  </cols>
  <sheetData>
    <row r="1" spans="1:20" ht="64.5" customHeight="1" thickBot="1">
      <c r="A1" s="37" t="str">
        <f>'Data Entry'!$A$1</f>
        <v>Balancing Authority</v>
      </c>
      <c r="B1" s="37" t="str">
        <f>'Data Entry'!$B$1</f>
        <v>BA_1</v>
      </c>
      <c r="C1" s="110" t="s">
        <v>91</v>
      </c>
      <c r="D1" s="111"/>
      <c r="F1" s="110" t="s">
        <v>82</v>
      </c>
      <c r="G1" s="111"/>
      <c r="I1" s="110" t="s">
        <v>83</v>
      </c>
      <c r="J1" s="111"/>
      <c r="L1" s="110" t="s">
        <v>92</v>
      </c>
      <c r="M1" s="111"/>
      <c r="O1" s="80" t="s">
        <v>84</v>
      </c>
      <c r="Q1" s="110" t="s">
        <v>85</v>
      </c>
      <c r="R1" s="111"/>
      <c r="T1" s="92" t="s">
        <v>133</v>
      </c>
    </row>
    <row r="2" spans="1:20">
      <c r="A2" s="76" t="str">
        <f>'Data Entry'!$A$2</f>
        <v>Date/Time</v>
      </c>
      <c r="B2" s="77"/>
      <c r="C2" s="53" t="s">
        <v>80</v>
      </c>
      <c r="D2" s="53" t="s">
        <v>81</v>
      </c>
      <c r="E2" s="114"/>
      <c r="F2" s="53" t="s">
        <v>80</v>
      </c>
      <c r="G2" s="53" t="s">
        <v>81</v>
      </c>
      <c r="H2" s="114"/>
      <c r="I2" s="53" t="s">
        <v>80</v>
      </c>
      <c r="J2" s="53" t="s">
        <v>81</v>
      </c>
      <c r="K2" s="114"/>
      <c r="L2" s="53" t="s">
        <v>80</v>
      </c>
      <c r="M2" s="53" t="s">
        <v>81</v>
      </c>
      <c r="N2" s="114"/>
      <c r="O2" s="53" t="s">
        <v>81</v>
      </c>
      <c r="P2" s="114"/>
      <c r="Q2" s="53" t="s">
        <v>80</v>
      </c>
      <c r="R2" s="53" t="s">
        <v>81</v>
      </c>
      <c r="S2" s="114"/>
      <c r="T2" s="116"/>
    </row>
    <row r="3" spans="1:20" ht="13.5" thickBot="1">
      <c r="A3" s="74" t="str">
        <f>'Data Entry'!$A$3</f>
        <v>(Central Prevailing)</v>
      </c>
      <c r="B3" s="75" t="str">
        <f>'Data Entry'!$B$3</f>
        <v>DelFreq</v>
      </c>
      <c r="C3" s="52" t="s">
        <v>60</v>
      </c>
      <c r="D3" s="52" t="s">
        <v>60</v>
      </c>
      <c r="E3" s="115"/>
      <c r="F3" s="52" t="s">
        <v>60</v>
      </c>
      <c r="G3" s="52" t="s">
        <v>60</v>
      </c>
      <c r="H3" s="115"/>
      <c r="I3" s="52" t="s">
        <v>60</v>
      </c>
      <c r="J3" s="52" t="s">
        <v>60</v>
      </c>
      <c r="K3" s="115"/>
      <c r="L3" s="52" t="s">
        <v>60</v>
      </c>
      <c r="M3" s="52" t="s">
        <v>60</v>
      </c>
      <c r="N3" s="115"/>
      <c r="O3" s="52" t="s">
        <v>96</v>
      </c>
      <c r="P3" s="115"/>
      <c r="Q3" s="52" t="s">
        <v>60</v>
      </c>
      <c r="R3" s="52" t="s">
        <v>60</v>
      </c>
      <c r="S3" s="115"/>
      <c r="T3" s="117"/>
    </row>
    <row r="4" spans="1:20">
      <c r="A4" s="73">
        <f ca="1">IF(CELL("type",'Data Entry'!$A4) = "v",'Data Entry'!$A4,"")</f>
        <v>39802.508333333331</v>
      </c>
      <c r="B4" s="2">
        <f ca="1">IF(CELL("type",'Data Entry'!$B4)="v",'Data Entry'!$B4,"")</f>
        <v>-5.7760692778103362E-2</v>
      </c>
      <c r="C4" s="64"/>
      <c r="D4" s="65"/>
      <c r="F4" s="64"/>
      <c r="G4" s="65"/>
      <c r="I4" s="64"/>
      <c r="J4" s="65"/>
      <c r="L4" s="64"/>
      <c r="M4" s="65"/>
      <c r="O4" s="65"/>
      <c r="Q4" s="64"/>
      <c r="R4" s="65"/>
      <c r="T4" s="82">
        <f ca="1">IF(CELL("type",'Data Entry'!$D4) = "v",((D4+G4+J4+M4-O4*10*'Data Entry'!$D4+R4)-(C4+F4+I4+L4+Q4)),"")</f>
        <v>0</v>
      </c>
    </row>
    <row r="5" spans="1:20">
      <c r="A5" s="19">
        <f ca="1">IF(CELL("type",'Data Entry'!$A5) = "v",'Data Entry'!$A5,"")</f>
        <v>39809.595833333333</v>
      </c>
      <c r="B5" s="2">
        <f ca="1">IF(CELL("type",'Data Entry'!$B5)="v",'Data Entry'!$B5,"")</f>
        <v>-6.609326317200015E-2</v>
      </c>
      <c r="C5" s="65"/>
      <c r="D5" s="65"/>
      <c r="F5" s="65"/>
      <c r="G5" s="65"/>
      <c r="I5" s="65"/>
      <c r="J5" s="65"/>
      <c r="L5" s="65"/>
      <c r="M5" s="65"/>
      <c r="O5" s="65"/>
      <c r="Q5" s="65"/>
      <c r="R5" s="65"/>
      <c r="T5" s="82">
        <f ca="1">IF(CELL("type",'Data Entry'!$D5) = "v",((D5+G5+J5+M5-O5*10*'Data Entry'!$D5+R5)-(C5+F5+I5+L5+Q5)),"")</f>
        <v>0</v>
      </c>
    </row>
    <row r="6" spans="1:20">
      <c r="A6" s="20">
        <f ca="1">IF(CELL("type",'Data Entry'!$A6) = "v",'Data Entry'!$A6,"")</f>
        <v>39818.393055555556</v>
      </c>
      <c r="B6" s="25">
        <f ca="1">IF(CELL("type",'Data Entry'!$B6)="v",'Data Entry'!$B6,"")</f>
        <v>-4.0239788237002472E-2</v>
      </c>
      <c r="C6" s="78"/>
      <c r="D6" s="78"/>
      <c r="F6" s="78"/>
      <c r="G6" s="78"/>
      <c r="I6" s="78"/>
      <c r="J6" s="78"/>
      <c r="L6" s="78"/>
      <c r="M6" s="78"/>
      <c r="O6" s="78"/>
      <c r="Q6" s="78"/>
      <c r="R6" s="78"/>
      <c r="T6" s="93">
        <f ca="1">IF(CELL("type",'Data Entry'!$D6) = "v",((D6+G6+J6+M6-O6*10*'Data Entry'!$D6+R6)-(C6+F6+I6+L6+Q6)),"")</f>
        <v>0</v>
      </c>
    </row>
    <row r="7" spans="1:20">
      <c r="A7" s="20">
        <f ca="1">IF(CELL("type",'Data Entry'!$A7) = "v",'Data Entry'!$A7,"")</f>
        <v>39840.027083333334</v>
      </c>
      <c r="B7" s="25">
        <f ca="1">IF(CELL("type",'Data Entry'!$B7)="v",'Data Entry'!$B7,"")</f>
        <v>-5.252492995489888E-2</v>
      </c>
      <c r="C7" s="78"/>
      <c r="D7" s="78"/>
      <c r="F7" s="78"/>
      <c r="G7" s="78"/>
      <c r="I7" s="78"/>
      <c r="J7" s="78"/>
      <c r="L7" s="78"/>
      <c r="M7" s="78"/>
      <c r="O7" s="78"/>
      <c r="Q7" s="78"/>
      <c r="R7" s="78"/>
      <c r="T7" s="93">
        <f ca="1">IF(CELL("type",'Data Entry'!$D7) = "v",((D7+G7+J7+M7-O7*10*'Data Entry'!$D7+R7)-(C7+F7+I7+L7+Q7)),"")</f>
        <v>0</v>
      </c>
    </row>
    <row r="8" spans="1:20">
      <c r="A8" s="19">
        <f ca="1">IF(CELL("type",'Data Entry'!$A8) = "v",'Data Entry'!$A8,"")</f>
        <v>39845.790972222225</v>
      </c>
      <c r="B8" s="2">
        <f ca="1">IF(CELL("type",'Data Entry'!$B8)="v",'Data Entry'!$B8,"")</f>
        <v>-7.090523129419779E-2</v>
      </c>
      <c r="C8" s="65"/>
      <c r="D8" s="65"/>
      <c r="F8" s="65"/>
      <c r="G8" s="65"/>
      <c r="I8" s="65"/>
      <c r="J8" s="65"/>
      <c r="L8" s="65"/>
      <c r="M8" s="65"/>
      <c r="O8" s="65"/>
      <c r="Q8" s="65"/>
      <c r="R8" s="65"/>
      <c r="T8" s="82">
        <f ca="1">IF(CELL("type",'Data Entry'!$D8) = "v",((D8+G8+J8+M8-O8*10*'Data Entry'!$D8+R8)-(C8+F8+I8+L8+Q8)),"")</f>
        <v>0</v>
      </c>
    </row>
    <row r="9" spans="1:20">
      <c r="A9" s="19">
        <f ca="1">IF(CELL("type",'Data Entry'!$A9) = "v",'Data Entry'!$A9,"")</f>
        <v>39863.207638888889</v>
      </c>
      <c r="B9" s="2">
        <f ca="1">IF(CELL("type",'Data Entry'!$B9)="v",'Data Entry'!$B9,"")</f>
        <v>-5.1906767345698768E-2</v>
      </c>
      <c r="C9" s="65"/>
      <c r="D9" s="65"/>
      <c r="F9" s="65"/>
      <c r="G9" s="65"/>
      <c r="I9" s="65"/>
      <c r="J9" s="65"/>
      <c r="L9" s="65"/>
      <c r="M9" s="65"/>
      <c r="O9" s="65"/>
      <c r="Q9" s="65"/>
      <c r="R9" s="65"/>
      <c r="T9" s="82">
        <f ca="1">IF(CELL("type",'Data Entry'!$D9) = "v",((D9+G9+J9+M9-O9*10*'Data Entry'!$D9+R9)-(C9+F9+I9+L9+Q9)),"")</f>
        <v>0</v>
      </c>
    </row>
    <row r="10" spans="1:20">
      <c r="A10" s="20">
        <f ca="1">IF(CELL("type",'Data Entry'!$A10) = "v",'Data Entry'!$A10,"")</f>
        <v>39896.893750000003</v>
      </c>
      <c r="B10" s="25">
        <f ca="1">IF(CELL("type",'Data Entry'!$B10)="v",'Data Entry'!$B10,"")</f>
        <v>-5.804770333430298E-2</v>
      </c>
      <c r="C10" s="78"/>
      <c r="D10" s="78"/>
      <c r="F10" s="78"/>
      <c r="G10" s="78"/>
      <c r="I10" s="78"/>
      <c r="J10" s="78"/>
      <c r="L10" s="78"/>
      <c r="M10" s="78"/>
      <c r="O10" s="78"/>
      <c r="Q10" s="78"/>
      <c r="R10" s="78"/>
      <c r="T10" s="93">
        <f ca="1">IF(CELL("type",'Data Entry'!$D10) = "v",((D10+G10+J10+M10-O10*10*'Data Entry'!$D10+R10)-(C10+F10+I10+L10+Q10)),"")</f>
        <v>0</v>
      </c>
    </row>
    <row r="11" spans="1:20">
      <c r="A11" s="20">
        <f ca="1">IF(CELL("type",'Data Entry'!$A11) = "v",'Data Entry'!$A11,"")</f>
        <v>39898.160416666666</v>
      </c>
      <c r="B11" s="25">
        <f ca="1">IF(CELL("type",'Data Entry'!$B11)="v",'Data Entry'!$B11,"")</f>
        <v>-7.5572422572498965E-2</v>
      </c>
      <c r="C11" s="78"/>
      <c r="D11" s="78"/>
      <c r="F11" s="78"/>
      <c r="G11" s="78"/>
      <c r="I11" s="78"/>
      <c r="J11" s="78"/>
      <c r="L11" s="78"/>
      <c r="M11" s="78"/>
      <c r="O11" s="78"/>
      <c r="Q11" s="78"/>
      <c r="R11" s="78"/>
      <c r="T11" s="93">
        <f ca="1">IF(CELL("type",'Data Entry'!$D11) = "v",((D11+G11+J11+M11-O11*10*'Data Entry'!$D11+R11)-(C11+F11+I11+L11+Q11)),"")</f>
        <v>0</v>
      </c>
    </row>
    <row r="12" spans="1:20">
      <c r="A12" s="19">
        <f ca="1">IF(CELL("type",'Data Entry'!$A12) = "v",'Data Entry'!$A12,"")</f>
        <v>39904.711805555555</v>
      </c>
      <c r="B12" s="2">
        <f ca="1">IF(CELL("type",'Data Entry'!$B12)="v",'Data Entry'!$B12,"")</f>
        <v>-5.6380498976999149E-2</v>
      </c>
      <c r="C12" s="65"/>
      <c r="D12" s="65"/>
      <c r="F12" s="65"/>
      <c r="G12" s="65"/>
      <c r="I12" s="65"/>
      <c r="J12" s="65"/>
      <c r="L12" s="65"/>
      <c r="M12" s="65"/>
      <c r="O12" s="65"/>
      <c r="Q12" s="65"/>
      <c r="R12" s="65"/>
      <c r="T12" s="82">
        <f ca="1">IF(CELL("type",'Data Entry'!$D12) = "v",((D12+G12+J12+M12-O12*10*'Data Entry'!$D12+R12)-(C12+F12+I12+L12+Q12)),"")</f>
        <v>0</v>
      </c>
    </row>
    <row r="13" spans="1:20">
      <c r="A13" s="19">
        <f ca="1">IF(CELL("type",'Data Entry'!$A13) = "v",'Data Entry'!$A13,"")</f>
        <v>39905.714583333334</v>
      </c>
      <c r="B13" s="2">
        <f ca="1">IF(CELL("type",'Data Entry'!$B13)="v",'Data Entry'!$B13,"")</f>
        <v>-5.7332901727598085E-2</v>
      </c>
      <c r="C13" s="65"/>
      <c r="D13" s="65"/>
      <c r="F13" s="65"/>
      <c r="G13" s="65"/>
      <c r="I13" s="65"/>
      <c r="J13" s="65"/>
      <c r="L13" s="65"/>
      <c r="M13" s="65"/>
      <c r="O13" s="65"/>
      <c r="Q13" s="65"/>
      <c r="R13" s="65"/>
      <c r="T13" s="82">
        <f ca="1">IF(CELL("type",'Data Entry'!$D13) = "v",((D13+G13+J13+M13-O13*10*'Data Entry'!$D13+R13)-(C13+F13+I13+L13+Q13)),"")</f>
        <v>0</v>
      </c>
    </row>
    <row r="14" spans="1:20">
      <c r="A14" s="20">
        <f ca="1">IF(CELL("type",'Data Entry'!$A14) = "v",'Data Entry'!$A14,"")</f>
        <v>39936.420138888891</v>
      </c>
      <c r="B14" s="25">
        <f ca="1">IF(CELL("type",'Data Entry'!$B14)="v",'Data Entry'!$B14,"")</f>
        <v>-5.1760900588298853E-2</v>
      </c>
      <c r="C14" s="78"/>
      <c r="D14" s="78"/>
      <c r="F14" s="78"/>
      <c r="G14" s="78"/>
      <c r="I14" s="78"/>
      <c r="J14" s="78"/>
      <c r="L14" s="78"/>
      <c r="M14" s="78"/>
      <c r="O14" s="78"/>
      <c r="Q14" s="78"/>
      <c r="R14" s="78"/>
      <c r="T14" s="93">
        <f ca="1">IF(CELL("type",'Data Entry'!$D14) = "v",((D14+G14+J14+M14-O14*10*'Data Entry'!$D14+R14)-(C14+F14+I14+L14+Q14)),"")</f>
        <v>0</v>
      </c>
    </row>
    <row r="15" spans="1:20">
      <c r="A15" s="21">
        <f ca="1">IF(CELL("type",'Data Entry'!$A15) = "v",'Data Entry'!$A15,"")</f>
        <v>39954.691712962966</v>
      </c>
      <c r="B15" s="25">
        <f ca="1">IF(CELL("type",'Data Entry'!$B15)="v",'Data Entry'!$B15,"")</f>
        <v>-4.9999237060546875E-2</v>
      </c>
      <c r="C15" s="78"/>
      <c r="D15" s="78"/>
      <c r="F15" s="78"/>
      <c r="G15" s="78"/>
      <c r="I15" s="78"/>
      <c r="J15" s="78"/>
      <c r="L15" s="78"/>
      <c r="M15" s="78"/>
      <c r="O15" s="78"/>
      <c r="Q15" s="78"/>
      <c r="R15" s="78"/>
      <c r="T15" s="93">
        <f ca="1">IF(CELL("type",'Data Entry'!$D15) = "v",((D15+G15+J15+M15-O15*10*'Data Entry'!$D15+R15)-(C15+F15+I15+L15+Q15)),"")</f>
        <v>0</v>
      </c>
    </row>
    <row r="16" spans="1:20">
      <c r="A16" s="19">
        <f ca="1">IF(CELL("type",'Data Entry'!$A16) = "v",'Data Entry'!$A16,"")</f>
        <v>39985.701678240737</v>
      </c>
      <c r="B16" s="2">
        <f ca="1">IF(CELL("type",'Data Entry'!$B16)="v",'Data Entry'!$B16,"")</f>
        <v>-5.1999999999999998E-2</v>
      </c>
      <c r="C16" s="65"/>
      <c r="D16" s="65"/>
      <c r="F16" s="65"/>
      <c r="G16" s="65"/>
      <c r="I16" s="65"/>
      <c r="J16" s="65"/>
      <c r="L16" s="65"/>
      <c r="M16" s="65"/>
      <c r="O16" s="65"/>
      <c r="Q16" s="65"/>
      <c r="R16" s="65"/>
      <c r="T16" s="82">
        <f ca="1">IF(CELL("type",'Data Entry'!$D16) = "v",((D16+G16+J16+M16-O16*10*'Data Entry'!$D16+R16)-(C16+F16+I16+L16+Q16)),"")</f>
        <v>0</v>
      </c>
    </row>
    <row r="17" spans="1:20">
      <c r="A17" s="22">
        <f ca="1">IF(CELL("type",'Data Entry'!$A17) = "v",'Data Entry'!$A17,"")</f>
        <v>39989.577592592592</v>
      </c>
      <c r="B17" s="2">
        <f ca="1">IF(CELL("type",'Data Entry'!$B17)="v",'Data Entry'!$B17,"")</f>
        <v>-5.5999755859375E-2</v>
      </c>
      <c r="C17" s="65"/>
      <c r="D17" s="65"/>
      <c r="F17" s="65"/>
      <c r="G17" s="65"/>
      <c r="I17" s="65"/>
      <c r="J17" s="65"/>
      <c r="L17" s="65"/>
      <c r="M17" s="65"/>
      <c r="O17" s="65"/>
      <c r="Q17" s="65"/>
      <c r="R17" s="65"/>
      <c r="T17" s="82">
        <f ca="1">IF(CELL("type",'Data Entry'!$D17) = "v",((D17+G17+J17+M17-O17*10*'Data Entry'!$D17+R17)-(C17+F17+I17+L17+Q17)),"")</f>
        <v>0</v>
      </c>
    </row>
    <row r="18" spans="1:20">
      <c r="A18" s="21">
        <f ca="1">IF(CELL("type",'Data Entry'!$A18) = "v",'Data Entry'!$A18,"")</f>
        <v>40000.566481481481</v>
      </c>
      <c r="B18" s="25">
        <f ca="1">IF(CELL("type",'Data Entry'!$B18)="v",'Data Entry'!$B18,"")</f>
        <v>-5.8498382568359375E-2</v>
      </c>
      <c r="C18" s="78"/>
      <c r="D18" s="78"/>
      <c r="F18" s="78"/>
      <c r="G18" s="78"/>
      <c r="I18" s="78"/>
      <c r="J18" s="78"/>
      <c r="L18" s="78"/>
      <c r="M18" s="78"/>
      <c r="O18" s="78"/>
      <c r="Q18" s="78"/>
      <c r="R18" s="78"/>
      <c r="T18" s="93">
        <f ca="1">IF(CELL("type",'Data Entry'!$D18) = "v",((D18+G18+J18+M18-O18*10*'Data Entry'!$D18+R18)-(C18+F18+I18+L18+Q18)),"")</f>
        <v>0</v>
      </c>
    </row>
    <row r="19" spans="1:20">
      <c r="A19" s="21">
        <f ca="1">IF(CELL("type",'Data Entry'!$A19) = "v",'Data Entry'!$A19,"")</f>
        <v>40020.587361111109</v>
      </c>
      <c r="B19" s="25">
        <f ca="1">IF(CELL("type",'Data Entry'!$B19)="v",'Data Entry'!$B19,"")</f>
        <v>-4.850006103515625E-2</v>
      </c>
      <c r="C19" s="78"/>
      <c r="D19" s="78"/>
      <c r="F19" s="78"/>
      <c r="G19" s="78"/>
      <c r="I19" s="78"/>
      <c r="J19" s="78"/>
      <c r="L19" s="78"/>
      <c r="M19" s="78"/>
      <c r="O19" s="78"/>
      <c r="Q19" s="78"/>
      <c r="R19" s="78"/>
      <c r="T19" s="93">
        <f ca="1">IF(CELL("type",'Data Entry'!$D19) = "v",((D19+G19+J19+M19-O19*10*'Data Entry'!$D19+R19)-(C19+F19+I19+L19+Q19)),"")</f>
        <v>0</v>
      </c>
    </row>
    <row r="20" spans="1:20">
      <c r="A20" s="22">
        <f ca="1">IF(CELL("type",'Data Entry'!$A20) = "v",'Data Entry'!$A20,"")</f>
        <v>40029.825138888889</v>
      </c>
      <c r="B20" s="2">
        <f ca="1">IF(CELL("type",'Data Entry'!$B20)="v",'Data Entry'!$B20,"")</f>
        <v>-4.5000076293945313E-2</v>
      </c>
      <c r="C20" s="65"/>
      <c r="D20" s="65"/>
      <c r="F20" s="65"/>
      <c r="G20" s="65"/>
      <c r="I20" s="65"/>
      <c r="J20" s="65"/>
      <c r="L20" s="65"/>
      <c r="M20" s="65"/>
      <c r="O20" s="65"/>
      <c r="Q20" s="65"/>
      <c r="R20" s="65"/>
      <c r="T20" s="82">
        <f ca="1">IF(CELL("type",'Data Entry'!$D20) = "v",((D20+G20+J20+M20-O20*10*'Data Entry'!$D20+R20)-(C20+F20+I20+L20+Q20)),"")</f>
        <v>0</v>
      </c>
    </row>
    <row r="21" spans="1:20">
      <c r="A21" s="22">
        <f ca="1">IF(CELL("type",'Data Entry'!$A21) = "v",'Data Entry'!$A21,"")</f>
        <v>40040.671249999999</v>
      </c>
      <c r="B21" s="2">
        <f ca="1">IF(CELL("type",'Data Entry'!$B21)="v",'Data Entry'!$B21,"")</f>
        <v>-3.7502288818359375E-2</v>
      </c>
      <c r="C21" s="65"/>
      <c r="D21" s="65"/>
      <c r="F21" s="65"/>
      <c r="G21" s="65"/>
      <c r="I21" s="65"/>
      <c r="J21" s="65"/>
      <c r="L21" s="65"/>
      <c r="M21" s="65"/>
      <c r="O21" s="65"/>
      <c r="Q21" s="65"/>
      <c r="R21" s="65"/>
      <c r="T21" s="82">
        <f ca="1">IF(CELL("type",'Data Entry'!$D21) = "v",((D21+G21+J21+M21-O21*10*'Data Entry'!$D21+R21)-(C21+F21+I21+L21+Q21)),"")</f>
        <v>0</v>
      </c>
    </row>
    <row r="22" spans="1:20">
      <c r="A22" s="21">
        <f ca="1">IF(CELL("type",'Data Entry'!$A22) = "v",'Data Entry'!$A22,"")</f>
        <v>40068.562731481485</v>
      </c>
      <c r="B22" s="25">
        <f ca="1">IF(CELL("type",'Data Entry'!$B22)="v",'Data Entry'!$B22,"")</f>
        <v>-4.75006103515625E-2</v>
      </c>
      <c r="C22" s="78"/>
      <c r="D22" s="78"/>
      <c r="F22" s="78"/>
      <c r="G22" s="78"/>
      <c r="I22" s="78"/>
      <c r="J22" s="78"/>
      <c r="L22" s="78"/>
      <c r="M22" s="78"/>
      <c r="O22" s="78"/>
      <c r="Q22" s="78"/>
      <c r="R22" s="78"/>
      <c r="T22" s="93">
        <f ca="1">IF(CELL("type",'Data Entry'!$D22) = "v",((D22+G22+J22+M22-O22*10*'Data Entry'!$D22+R22)-(C22+F22+I22+L22+Q22)),"")</f>
        <v>0</v>
      </c>
    </row>
    <row r="23" spans="1:20">
      <c r="A23" s="21">
        <f ca="1">IF(CELL("type",'Data Entry'!$A23) = "v",'Data Entry'!$A23,"")</f>
        <v>40085.469583333332</v>
      </c>
      <c r="B23" s="25">
        <f ca="1">IF(CELL("type",'Data Entry'!$B23)="v",'Data Entry'!$B23,"")</f>
        <v>-5.5500030517578125E-2</v>
      </c>
      <c r="C23" s="78"/>
      <c r="D23" s="78"/>
      <c r="F23" s="78"/>
      <c r="G23" s="78"/>
      <c r="I23" s="78"/>
      <c r="J23" s="78"/>
      <c r="L23" s="78"/>
      <c r="M23" s="78"/>
      <c r="O23" s="78"/>
      <c r="Q23" s="78"/>
      <c r="R23" s="78"/>
      <c r="T23" s="93">
        <f ca="1">IF(CELL("type",'Data Entry'!$D23) = "v",((D23+G23+J23+M23-O23*10*'Data Entry'!$D23+R23)-(C23+F23+I23+L23+Q23)),"")</f>
        <v>0</v>
      </c>
    </row>
    <row r="24" spans="1:20">
      <c r="A24" s="23">
        <f ca="1">IF(CELL("type",'Data Entry'!$A24) = "v",'Data Entry'!$A24,"")</f>
        <v>40105.406851851854</v>
      </c>
      <c r="B24" s="2">
        <f ca="1">IF(CELL("type",'Data Entry'!$B24)="v",'Data Entry'!$B24,"")</f>
        <v>-4.7E-2</v>
      </c>
      <c r="C24" s="65"/>
      <c r="D24" s="65"/>
      <c r="F24" s="65"/>
      <c r="G24" s="65"/>
      <c r="I24" s="65"/>
      <c r="J24" s="65"/>
      <c r="L24" s="65"/>
      <c r="M24" s="65"/>
      <c r="O24" s="65"/>
      <c r="Q24" s="65"/>
      <c r="R24" s="65"/>
      <c r="T24" s="82">
        <f ca="1">IF(CELL("type",'Data Entry'!$D24) = "v",((D24+G24+J24+M24-O24*10*'Data Entry'!$D24+R24)-(C24+F24+I24+L24+Q24)),"")</f>
        <v>0</v>
      </c>
    </row>
    <row r="25" spans="1:20">
      <c r="A25" s="23">
        <f ca="1">IF(CELL("type",'Data Entry'!$A25) = "v",'Data Entry'!$A25,"")</f>
        <v>40112.620555555557</v>
      </c>
      <c r="B25" s="2">
        <f ca="1">IF(CELL("type",'Data Entry'!$B25)="v",'Data Entry'!$B25,"")</f>
        <v>-6.0000000000002274E-2</v>
      </c>
      <c r="C25" s="65"/>
      <c r="D25" s="65"/>
      <c r="F25" s="65"/>
      <c r="G25" s="65"/>
      <c r="I25" s="65"/>
      <c r="J25" s="65"/>
      <c r="L25" s="65"/>
      <c r="M25" s="65"/>
      <c r="O25" s="65"/>
      <c r="Q25" s="65"/>
      <c r="R25" s="65"/>
      <c r="T25" s="82">
        <f ca="1">IF(CELL("type",'Data Entry'!$D25) = "v",((D25+G25+J25+M25-O25*10*'Data Entry'!$D25+R25)-(C25+F25+I25+L25+Q25)),"")</f>
        <v>0</v>
      </c>
    </row>
    <row r="26" spans="1:20">
      <c r="A26" s="21" t="str">
        <f ca="1">IF(CELL("type",'Data Entry'!$A26) = "v",'Data Entry'!$A26,"")</f>
        <v/>
      </c>
      <c r="B26" s="25">
        <f ca="1">IF(CELL("type",'Data Entry'!$B26)="v",'Data Entry'!$B26,"")</f>
        <v>-5.9999999999995168E-2</v>
      </c>
      <c r="C26" s="78"/>
      <c r="D26" s="78"/>
      <c r="F26" s="78"/>
      <c r="G26" s="78"/>
      <c r="I26" s="78"/>
      <c r="J26" s="78"/>
      <c r="L26" s="78"/>
      <c r="M26" s="78"/>
      <c r="O26" s="78"/>
      <c r="Q26" s="78"/>
      <c r="R26" s="78"/>
      <c r="T26" s="93">
        <f ca="1">IF(CELL("type",'Data Entry'!$D26) = "v",((D26+G26+J26+M26-O26*10*'Data Entry'!$D26+R26)-(C26+F26+I26+L26+Q26)),"")</f>
        <v>0</v>
      </c>
    </row>
    <row r="27" spans="1:20">
      <c r="A27" s="21">
        <f ca="1">IF(CELL("type",'Data Entry'!$A27) = "v",'Data Entry'!$A27,"")</f>
        <v>40120.820925925924</v>
      </c>
      <c r="B27" s="25">
        <f ca="1">IF(CELL("type",'Data Entry'!$B27)="v",'Data Entry'!$B27,"")</f>
        <v>-5.1000000000001933E-2</v>
      </c>
      <c r="C27" s="78"/>
      <c r="D27" s="78"/>
      <c r="F27" s="78"/>
      <c r="G27" s="78"/>
      <c r="I27" s="78"/>
      <c r="J27" s="78"/>
      <c r="L27" s="78"/>
      <c r="M27" s="78"/>
      <c r="O27" s="78"/>
      <c r="Q27" s="78"/>
      <c r="R27" s="78"/>
      <c r="T27" s="93">
        <f ca="1">IF(CELL("type",'Data Entry'!$D27) = "v",((D27+G27+J27+M27-O27*10*'Data Entry'!$D27+R27)-(C27+F27+I27+L27+Q27)),"")</f>
        <v>0</v>
      </c>
    </row>
    <row r="28" spans="1:20">
      <c r="A28" s="23" t="str">
        <f ca="1">IF(CELL("type",'Data Entry'!$A28) = "v",'Data Entry'!$A28,"")</f>
        <v/>
      </c>
      <c r="B28" s="2" t="str">
        <f ca="1">IF(CELL("type",'Data Entry'!$B28)="v",'Data Entry'!$B28,"")</f>
        <v/>
      </c>
      <c r="C28" s="65"/>
      <c r="D28" s="65"/>
      <c r="F28" s="65"/>
      <c r="G28" s="65"/>
      <c r="I28" s="65"/>
      <c r="J28" s="65"/>
      <c r="L28" s="65"/>
      <c r="M28" s="65"/>
      <c r="O28" s="65"/>
      <c r="Q28" s="65"/>
      <c r="R28" s="65"/>
      <c r="T28" s="82" t="str">
        <f ca="1">IF(CELL("type",'Data Entry'!$D28) = "v",((D28+G28+J28+M28-O28*10*'Data Entry'!$D28+R28)-(C28+F28+I28+L28+Q28)),"")</f>
        <v/>
      </c>
    </row>
    <row r="29" spans="1:20">
      <c r="A29" s="23" t="str">
        <f ca="1">IF(CELL("type",'Data Entry'!$A29) = "v",'Data Entry'!$A29,"")</f>
        <v/>
      </c>
      <c r="B29" s="2" t="str">
        <f ca="1">IF(CELL("type",'Data Entry'!$B29)="v",'Data Entry'!$B29,"")</f>
        <v/>
      </c>
      <c r="C29" s="65"/>
      <c r="D29" s="65"/>
      <c r="F29" s="65"/>
      <c r="G29" s="65"/>
      <c r="I29" s="65"/>
      <c r="J29" s="65"/>
      <c r="L29" s="65"/>
      <c r="M29" s="65"/>
      <c r="O29" s="65"/>
      <c r="Q29" s="65"/>
      <c r="R29" s="65"/>
      <c r="T29" s="82" t="str">
        <f ca="1">IF(CELL("type",'Data Entry'!$D29) = "v",((D29+G29+J29+M29-O29*10*'Data Entry'!$D29+R29)-(C29+F29+I29+L29+Q29)),"")</f>
        <v/>
      </c>
    </row>
    <row r="30" spans="1:20">
      <c r="A30" s="21" t="str">
        <f ca="1">IF(CELL("type",'Data Entry'!$A30) = "v",'Data Entry'!$A30,"")</f>
        <v/>
      </c>
      <c r="B30" s="25" t="str">
        <f ca="1">IF(CELL("type",'Data Entry'!$B30)="v",'Data Entry'!$B30,"")</f>
        <v/>
      </c>
      <c r="C30" s="78"/>
      <c r="D30" s="78"/>
      <c r="F30" s="78"/>
      <c r="G30" s="78"/>
      <c r="I30" s="78"/>
      <c r="J30" s="78"/>
      <c r="L30" s="78"/>
      <c r="M30" s="78"/>
      <c r="O30" s="78"/>
      <c r="Q30" s="78"/>
      <c r="R30" s="78"/>
      <c r="T30" s="93" t="str">
        <f ca="1">IF(CELL("type",'Data Entry'!$D30) = "v",((D30+G30+J30+M30-O30*10*'Data Entry'!$D30+R30)-(C30+F30+I30+L30+Q30)),"")</f>
        <v/>
      </c>
    </row>
    <row r="31" spans="1:20">
      <c r="A31" s="21" t="str">
        <f ca="1">IF(CELL("type",'Data Entry'!$A31) = "v",'Data Entry'!$A31,"")</f>
        <v/>
      </c>
      <c r="B31" s="25" t="str">
        <f ca="1">IF(CELL("type",'Data Entry'!$B31)="v",'Data Entry'!$B31,"")</f>
        <v/>
      </c>
      <c r="C31" s="78"/>
      <c r="D31" s="78"/>
      <c r="F31" s="78"/>
      <c r="G31" s="78"/>
      <c r="I31" s="78"/>
      <c r="J31" s="78"/>
      <c r="L31" s="78"/>
      <c r="M31" s="78"/>
      <c r="O31" s="78"/>
      <c r="Q31" s="78"/>
      <c r="R31" s="78"/>
      <c r="T31" s="93" t="str">
        <f ca="1">IF(CELL("type",'Data Entry'!$D31) = "v",((D31+G31+J31+M31-O31*10*'Data Entry'!$D31+R31)-(C31+F31+I31+L31+Q31)),"")</f>
        <v/>
      </c>
    </row>
    <row r="32" spans="1:20">
      <c r="A32" s="23" t="str">
        <f ca="1">IF(CELL("type",'Data Entry'!$A32) = "v",'Data Entry'!$A32,"")</f>
        <v/>
      </c>
      <c r="B32" s="2" t="str">
        <f ca="1">IF(CELL("type",'Data Entry'!$B32)="v",'Data Entry'!$B32,"")</f>
        <v/>
      </c>
      <c r="C32" s="65"/>
      <c r="D32" s="65"/>
      <c r="F32" s="65"/>
      <c r="G32" s="65"/>
      <c r="I32" s="65"/>
      <c r="J32" s="65"/>
      <c r="L32" s="65"/>
      <c r="M32" s="65"/>
      <c r="O32" s="65"/>
      <c r="Q32" s="65"/>
      <c r="R32" s="65"/>
      <c r="T32" s="82" t="str">
        <f ca="1">IF(CELL("type",'Data Entry'!$D32) = "v",((D32+G32+J32+M32-O32*10*'Data Entry'!$D32+R32)-(C32+F32+I32+L32+Q32)),"")</f>
        <v/>
      </c>
    </row>
    <row r="33" spans="1:20">
      <c r="A33" s="23" t="str">
        <f ca="1">IF(CELL("type",'Data Entry'!$A33) = "v",'Data Entry'!$A33,"")</f>
        <v/>
      </c>
      <c r="B33" s="2" t="str">
        <f ca="1">IF(CELL("type",'Data Entry'!$B33)="v",'Data Entry'!$B33,"")</f>
        <v/>
      </c>
      <c r="C33" s="65"/>
      <c r="D33" s="65"/>
      <c r="F33" s="65"/>
      <c r="G33" s="65"/>
      <c r="I33" s="65"/>
      <c r="J33" s="65"/>
      <c r="L33" s="65"/>
      <c r="M33" s="65"/>
      <c r="O33" s="65"/>
      <c r="Q33" s="65"/>
      <c r="R33" s="65"/>
      <c r="T33" s="82" t="str">
        <f ca="1">IF(CELL("type",'Data Entry'!$D33) = "v",((D33+G33+J33+M33-O33*10*'Data Entry'!$D33+R33)-(C33+F33+I33+L33+Q33)),"")</f>
        <v/>
      </c>
    </row>
    <row r="34" spans="1:20" ht="15.75">
      <c r="A34" s="21" t="str">
        <f ca="1">IF(CELL("type",'Data Entry'!$A34) = "v",'Data Entry'!$A34,"")</f>
        <v/>
      </c>
      <c r="B34" s="25" t="str">
        <f ca="1">IF(CELL("type",'Data Entry'!$B34)="v",'Data Entry'!$B34,"")</f>
        <v/>
      </c>
      <c r="C34" s="78"/>
      <c r="D34" s="78"/>
      <c r="F34" s="78"/>
      <c r="G34" s="78"/>
      <c r="I34" s="78"/>
      <c r="J34" s="78"/>
      <c r="L34" s="78"/>
      <c r="M34" s="78"/>
      <c r="O34" s="78"/>
      <c r="Q34" s="78"/>
      <c r="R34" s="78"/>
      <c r="S34" s="59"/>
      <c r="T34" s="93" t="str">
        <f ca="1">IF(CELL("type",'Data Entry'!$D34) = "v",((D34+G34+J34+M34-O34*10*'Data Entry'!$D34+R34)-(C34+F34+I34+L34+Q34)),"")</f>
        <v/>
      </c>
    </row>
    <row r="35" spans="1:20" ht="15.75">
      <c r="A35" s="21" t="str">
        <f ca="1">IF(CELL("type",'Data Entry'!$A35) = "v",'Data Entry'!$A35,"")</f>
        <v/>
      </c>
      <c r="B35" s="25" t="str">
        <f ca="1">IF(CELL("type",'Data Entry'!$B35)="v",'Data Entry'!$B35,"")</f>
        <v/>
      </c>
      <c r="C35" s="78"/>
      <c r="D35" s="78"/>
      <c r="F35" s="78"/>
      <c r="G35" s="78"/>
      <c r="I35" s="78"/>
      <c r="J35" s="78"/>
      <c r="L35" s="78"/>
      <c r="M35" s="78"/>
      <c r="O35" s="78"/>
      <c r="Q35" s="78"/>
      <c r="R35" s="78"/>
      <c r="S35" s="59"/>
      <c r="T35" s="93" t="str">
        <f ca="1">IF(CELL("type",'Data Entry'!$D35) = "v",((D35+G35+J35+M35-O35*10*'Data Entry'!$D35+R35)-(C35+F35+I35+L35+Q35)),"")</f>
        <v/>
      </c>
    </row>
    <row r="36" spans="1:20" ht="15.75">
      <c r="A36" s="23" t="str">
        <f ca="1">IF(CELL("type",'Data Entry'!$A36) = "v",'Data Entry'!$A36,"")</f>
        <v/>
      </c>
      <c r="B36" s="2" t="str">
        <f ca="1">IF(CELL("type",'Data Entry'!$B36)="v",'Data Entry'!$B36,"")</f>
        <v/>
      </c>
      <c r="C36" s="65"/>
      <c r="D36" s="65"/>
      <c r="F36" s="65"/>
      <c r="G36" s="65"/>
      <c r="I36" s="65"/>
      <c r="J36" s="65"/>
      <c r="L36" s="65"/>
      <c r="M36" s="65"/>
      <c r="O36" s="65"/>
      <c r="Q36" s="65"/>
      <c r="R36" s="65"/>
      <c r="S36" s="59"/>
      <c r="T36" s="82" t="str">
        <f ca="1">IF(CELL("type",'Data Entry'!$D36) = "v",((D36+G36+J36+M36-O36*10*'Data Entry'!$D36+R36)-(C36+F36+I36+L36+Q36)),"")</f>
        <v/>
      </c>
    </row>
    <row r="37" spans="1:20" ht="15.75">
      <c r="A37" s="23" t="str">
        <f ca="1">IF(CELL("type",'Data Entry'!$A37) = "v",'Data Entry'!$A37,"")</f>
        <v/>
      </c>
      <c r="B37" s="2" t="str">
        <f ca="1">IF(CELL("type",'Data Entry'!$B37)="v",'Data Entry'!$B37,"")</f>
        <v/>
      </c>
      <c r="C37" s="65"/>
      <c r="D37" s="65"/>
      <c r="F37" s="65"/>
      <c r="G37" s="65"/>
      <c r="I37" s="65"/>
      <c r="J37" s="65"/>
      <c r="L37" s="65"/>
      <c r="M37" s="65"/>
      <c r="O37" s="65"/>
      <c r="Q37" s="65"/>
      <c r="R37" s="65"/>
      <c r="S37" s="59"/>
      <c r="T37" s="82" t="str">
        <f ca="1">IF(CELL("type",'Data Entry'!$D37) = "v",((D37+G37+J37+M37-O37*10*'Data Entry'!$D37+R37)-(C37+F37+I37+L37+Q37)),"")</f>
        <v/>
      </c>
    </row>
    <row r="38" spans="1:20" ht="15.75">
      <c r="A38" s="21" t="str">
        <f ca="1">IF(CELL("type",'Data Entry'!$A38) = "v",'Data Entry'!$A38,"")</f>
        <v/>
      </c>
      <c r="B38" s="25" t="str">
        <f ca="1">IF(CELL("type",'Data Entry'!$B38)="v",'Data Entry'!$B38,"")</f>
        <v/>
      </c>
      <c r="C38" s="78"/>
      <c r="D38" s="78"/>
      <c r="F38" s="78"/>
      <c r="G38" s="78"/>
      <c r="I38" s="78"/>
      <c r="J38" s="78"/>
      <c r="L38" s="78"/>
      <c r="M38" s="78"/>
      <c r="O38" s="78"/>
      <c r="Q38" s="78"/>
      <c r="R38" s="78"/>
      <c r="S38" s="60"/>
      <c r="T38" s="93" t="str">
        <f ca="1">IF(CELL("type",'Data Entry'!$D38) = "v",((D38+G38+J38+M38-O38*10*'Data Entry'!$D38+R38)-(C38+F38+I38+L38+Q38)),"")</f>
        <v/>
      </c>
    </row>
    <row r="39" spans="1:20" ht="15.75">
      <c r="A39" s="21" t="str">
        <f ca="1">IF(CELL("type",'Data Entry'!$A39) = "v",'Data Entry'!$A39,"")</f>
        <v/>
      </c>
      <c r="B39" s="25" t="str">
        <f ca="1">IF(CELL("type",'Data Entry'!$B39)="v",'Data Entry'!$B39,"")</f>
        <v/>
      </c>
      <c r="C39" s="78"/>
      <c r="D39" s="78"/>
      <c r="F39" s="78"/>
      <c r="G39" s="78"/>
      <c r="I39" s="78"/>
      <c r="J39" s="78"/>
      <c r="L39" s="78"/>
      <c r="M39" s="78"/>
      <c r="O39" s="78"/>
      <c r="Q39" s="78"/>
      <c r="R39" s="78"/>
      <c r="S39" s="59"/>
      <c r="T39" s="93" t="str">
        <f ca="1">IF(CELL("type",'Data Entry'!$D39) = "v",((D39+G39+J39+M39-O39*10*'Data Entry'!$D39+R39)-(C39+F39+I39+L39+Q39)),"")</f>
        <v/>
      </c>
    </row>
    <row r="40" spans="1:20" ht="121.5" customHeight="1">
      <c r="A40" s="113" t="s">
        <v>86</v>
      </c>
      <c r="B40" s="113"/>
      <c r="C40" s="112" t="s">
        <v>87</v>
      </c>
      <c r="D40" s="112"/>
      <c r="E40" s="79"/>
      <c r="F40" s="112" t="s">
        <v>95</v>
      </c>
      <c r="G40" s="112"/>
      <c r="H40" s="79"/>
      <c r="I40" s="112" t="s">
        <v>88</v>
      </c>
      <c r="J40" s="112"/>
      <c r="K40" s="79"/>
      <c r="L40" s="112" t="s">
        <v>89</v>
      </c>
      <c r="M40" s="112"/>
      <c r="N40" s="79"/>
      <c r="O40" s="81" t="s">
        <v>97</v>
      </c>
      <c r="P40" s="79"/>
      <c r="Q40" s="112" t="s">
        <v>90</v>
      </c>
      <c r="R40" s="112"/>
    </row>
    <row r="41" spans="1:20" ht="18">
      <c r="A41" s="94" t="s">
        <v>93</v>
      </c>
    </row>
    <row r="42" spans="1:20" ht="99" customHeight="1">
      <c r="A42" s="97" t="s">
        <v>134</v>
      </c>
      <c r="B42" s="109" t="s">
        <v>140</v>
      </c>
      <c r="C42" s="109"/>
      <c r="D42" s="109"/>
      <c r="E42" s="109"/>
      <c r="F42" s="109"/>
      <c r="G42" s="109"/>
      <c r="H42" s="109"/>
      <c r="I42" s="109"/>
      <c r="J42" s="109"/>
      <c r="K42" s="109"/>
      <c r="L42" s="109"/>
      <c r="M42" s="109"/>
      <c r="N42" s="109"/>
      <c r="O42" s="109"/>
      <c r="P42" s="109"/>
      <c r="Q42" s="109"/>
      <c r="R42" s="109"/>
    </row>
    <row r="43" spans="1:20" ht="51" customHeight="1">
      <c r="A43" s="97" t="s">
        <v>135</v>
      </c>
      <c r="B43" s="109" t="s">
        <v>139</v>
      </c>
      <c r="C43" s="109"/>
      <c r="D43" s="109"/>
      <c r="E43" s="109"/>
      <c r="F43" s="109"/>
      <c r="G43" s="109"/>
      <c r="H43" s="109"/>
      <c r="I43" s="109"/>
      <c r="J43" s="109"/>
      <c r="K43" s="109"/>
      <c r="L43" s="109"/>
      <c r="M43" s="109"/>
      <c r="N43" s="109"/>
      <c r="O43" s="109"/>
      <c r="P43" s="109"/>
      <c r="Q43" s="109"/>
      <c r="R43" s="109"/>
    </row>
    <row r="44" spans="1:20" ht="39" customHeight="1">
      <c r="A44" s="97" t="s">
        <v>136</v>
      </c>
      <c r="B44" s="109" t="s">
        <v>137</v>
      </c>
      <c r="C44" s="109"/>
      <c r="D44" s="109"/>
      <c r="E44" s="109"/>
      <c r="F44" s="109"/>
      <c r="G44" s="109"/>
      <c r="H44" s="109"/>
      <c r="I44" s="109"/>
      <c r="J44" s="109"/>
      <c r="K44" s="109"/>
      <c r="L44" s="109"/>
      <c r="M44" s="109"/>
      <c r="N44" s="109"/>
      <c r="O44" s="109"/>
      <c r="P44" s="109"/>
      <c r="Q44" s="109"/>
      <c r="R44" s="109"/>
    </row>
    <row r="45" spans="1:20" ht="51.75" customHeight="1">
      <c r="A45" s="97" t="s">
        <v>138</v>
      </c>
      <c r="B45" s="109" t="s">
        <v>143</v>
      </c>
      <c r="C45" s="109"/>
      <c r="D45" s="109"/>
      <c r="E45" s="109"/>
      <c r="F45" s="109"/>
      <c r="G45" s="109"/>
      <c r="H45" s="109"/>
      <c r="I45" s="109"/>
      <c r="J45" s="109"/>
      <c r="K45" s="109"/>
      <c r="L45" s="109"/>
      <c r="M45" s="109"/>
      <c r="N45" s="109"/>
      <c r="O45" s="109"/>
      <c r="P45" s="109"/>
      <c r="Q45" s="109"/>
      <c r="R45" s="109"/>
    </row>
    <row r="46" spans="1:20" ht="37.5" customHeight="1">
      <c r="A46" s="97" t="s">
        <v>141</v>
      </c>
      <c r="B46" s="109" t="s">
        <v>142</v>
      </c>
      <c r="C46" s="109"/>
      <c r="D46" s="109"/>
      <c r="E46" s="109"/>
      <c r="F46" s="109"/>
      <c r="G46" s="109"/>
      <c r="H46" s="109"/>
      <c r="I46" s="109"/>
      <c r="J46" s="109"/>
      <c r="K46" s="109"/>
      <c r="L46" s="109"/>
      <c r="M46" s="109"/>
      <c r="N46" s="109"/>
      <c r="O46" s="109"/>
      <c r="P46" s="109"/>
      <c r="Q46" s="109"/>
      <c r="R46" s="109"/>
    </row>
    <row r="47" spans="1:20" ht="99" customHeight="1">
      <c r="A47" s="97" t="s">
        <v>144</v>
      </c>
      <c r="B47" s="109" t="s">
        <v>146</v>
      </c>
      <c r="C47" s="109"/>
      <c r="D47" s="109"/>
      <c r="E47" s="109"/>
      <c r="F47" s="109"/>
      <c r="G47" s="109"/>
      <c r="H47" s="109"/>
      <c r="I47" s="109"/>
      <c r="J47" s="109"/>
      <c r="K47" s="109"/>
      <c r="L47" s="109"/>
      <c r="M47" s="109"/>
      <c r="N47" s="109"/>
      <c r="O47" s="109"/>
      <c r="P47" s="109"/>
      <c r="Q47" s="109"/>
      <c r="R47" s="109"/>
    </row>
    <row r="48" spans="1:20" ht="51" customHeight="1">
      <c r="A48" s="97" t="s">
        <v>145</v>
      </c>
      <c r="B48" s="109" t="s">
        <v>147</v>
      </c>
      <c r="C48" s="109"/>
      <c r="D48" s="109"/>
      <c r="E48" s="109"/>
      <c r="F48" s="109"/>
      <c r="G48" s="109"/>
      <c r="H48" s="109"/>
      <c r="I48" s="109"/>
      <c r="J48" s="109"/>
      <c r="K48" s="109"/>
      <c r="L48" s="109"/>
      <c r="M48" s="109"/>
      <c r="N48" s="109"/>
      <c r="O48" s="109"/>
      <c r="P48" s="109"/>
      <c r="Q48" s="109"/>
      <c r="R48" s="109"/>
    </row>
    <row r="49" spans="1:18">
      <c r="A49" s="97"/>
      <c r="B49" s="109"/>
      <c r="C49" s="109"/>
      <c r="D49" s="109"/>
      <c r="E49" s="109"/>
      <c r="F49" s="109"/>
      <c r="G49" s="109"/>
      <c r="H49" s="109"/>
      <c r="I49" s="109"/>
      <c r="J49" s="109"/>
      <c r="K49" s="109"/>
      <c r="L49" s="109"/>
      <c r="M49" s="109"/>
      <c r="N49" s="109"/>
      <c r="O49" s="109"/>
      <c r="P49" s="109"/>
      <c r="Q49" s="109"/>
      <c r="R49" s="109"/>
    </row>
    <row r="50" spans="1:18">
      <c r="A50" s="97"/>
      <c r="B50" s="109"/>
      <c r="C50" s="109"/>
      <c r="D50" s="109"/>
      <c r="E50" s="109"/>
      <c r="F50" s="109"/>
      <c r="G50" s="109"/>
      <c r="H50" s="109"/>
      <c r="I50" s="109"/>
      <c r="J50" s="109"/>
      <c r="K50" s="109"/>
      <c r="L50" s="109"/>
      <c r="M50" s="109"/>
      <c r="N50" s="109"/>
      <c r="O50" s="109"/>
      <c r="P50" s="109"/>
      <c r="Q50" s="109"/>
      <c r="R50" s="109"/>
    </row>
    <row r="51" spans="1:18">
      <c r="A51" s="97"/>
      <c r="B51" s="109"/>
      <c r="C51" s="109"/>
      <c r="D51" s="109"/>
      <c r="E51" s="109"/>
      <c r="F51" s="109"/>
      <c r="G51" s="109"/>
      <c r="H51" s="109"/>
      <c r="I51" s="109"/>
      <c r="J51" s="109"/>
      <c r="K51" s="109"/>
      <c r="L51" s="109"/>
      <c r="M51" s="109"/>
      <c r="N51" s="109"/>
      <c r="O51" s="109"/>
      <c r="P51" s="109"/>
      <c r="Q51" s="109"/>
      <c r="R51" s="109"/>
    </row>
    <row r="52" spans="1:18">
      <c r="A52" s="97"/>
      <c r="B52" s="109"/>
      <c r="C52" s="109"/>
      <c r="D52" s="109"/>
      <c r="E52" s="109"/>
      <c r="F52" s="109"/>
      <c r="G52" s="109"/>
      <c r="H52" s="109"/>
      <c r="I52" s="109"/>
      <c r="J52" s="109"/>
      <c r="K52" s="109"/>
      <c r="L52" s="109"/>
      <c r="M52" s="109"/>
      <c r="N52" s="109"/>
      <c r="O52" s="109"/>
      <c r="P52" s="109"/>
      <c r="Q52" s="109"/>
      <c r="R52" s="109"/>
    </row>
    <row r="53" spans="1:18">
      <c r="A53" s="97"/>
      <c r="B53" s="109"/>
      <c r="C53" s="109"/>
      <c r="D53" s="109"/>
      <c r="E53" s="109"/>
      <c r="F53" s="109"/>
      <c r="G53" s="109"/>
      <c r="H53" s="109"/>
      <c r="I53" s="109"/>
      <c r="J53" s="109"/>
      <c r="K53" s="109"/>
      <c r="L53" s="109"/>
      <c r="M53" s="109"/>
      <c r="N53" s="109"/>
      <c r="O53" s="109"/>
      <c r="P53" s="109"/>
      <c r="Q53" s="109"/>
      <c r="R53" s="109"/>
    </row>
    <row r="54" spans="1:18">
      <c r="A54" s="97"/>
      <c r="B54" s="109"/>
      <c r="C54" s="109"/>
      <c r="D54" s="109"/>
      <c r="E54" s="109"/>
      <c r="F54" s="109"/>
      <c r="G54" s="109"/>
      <c r="H54" s="109"/>
      <c r="I54" s="109"/>
      <c r="J54" s="109"/>
      <c r="K54" s="109"/>
      <c r="L54" s="109"/>
      <c r="M54" s="109"/>
      <c r="N54" s="109"/>
      <c r="O54" s="109"/>
      <c r="P54" s="109"/>
      <c r="Q54" s="109"/>
      <c r="R54" s="109"/>
    </row>
    <row r="55" spans="1:18">
      <c r="A55" s="97"/>
      <c r="B55" s="109"/>
      <c r="C55" s="109"/>
      <c r="D55" s="109"/>
      <c r="E55" s="109"/>
      <c r="F55" s="109"/>
      <c r="G55" s="109"/>
      <c r="H55" s="109"/>
      <c r="I55" s="109"/>
      <c r="J55" s="109"/>
      <c r="K55" s="109"/>
      <c r="L55" s="109"/>
      <c r="M55" s="109"/>
      <c r="N55" s="109"/>
      <c r="O55" s="109"/>
      <c r="P55" s="109"/>
      <c r="Q55" s="109"/>
      <c r="R55" s="109"/>
    </row>
  </sheetData>
  <sheetProtection sheet="1" objects="1" scenarios="1"/>
  <mergeCells count="32">
    <mergeCell ref="S2:S3"/>
    <mergeCell ref="T2:T3"/>
    <mergeCell ref="Q40:R40"/>
    <mergeCell ref="E2:E3"/>
    <mergeCell ref="H2:H3"/>
    <mergeCell ref="K2:K3"/>
    <mergeCell ref="N2:N3"/>
    <mergeCell ref="P2:P3"/>
    <mergeCell ref="F40:G40"/>
    <mergeCell ref="I40:J40"/>
    <mergeCell ref="L40:M40"/>
    <mergeCell ref="B43:R43"/>
    <mergeCell ref="B44:R44"/>
    <mergeCell ref="B45:R45"/>
    <mergeCell ref="B46:R46"/>
    <mergeCell ref="C1:D1"/>
    <mergeCell ref="F1:G1"/>
    <mergeCell ref="I1:J1"/>
    <mergeCell ref="L1:M1"/>
    <mergeCell ref="Q1:R1"/>
    <mergeCell ref="B42:R42"/>
    <mergeCell ref="C40:D40"/>
    <mergeCell ref="A40:B40"/>
    <mergeCell ref="B52:R52"/>
    <mergeCell ref="B53:R53"/>
    <mergeCell ref="B54:R54"/>
    <mergeCell ref="B55:R55"/>
    <mergeCell ref="B47:R47"/>
    <mergeCell ref="B48:R48"/>
    <mergeCell ref="B49:R49"/>
    <mergeCell ref="B50:R50"/>
    <mergeCell ref="B51:R51"/>
  </mergeCells>
  <dataValidations count="8">
    <dataValidation type="whole" allowBlank="1" showInputMessage="1" showErrorMessage="1" sqref="F4:G39">
      <formula1>-5000</formula1>
      <formula2>0</formula2>
    </dataValidation>
    <dataValidation type="whole" allowBlank="1" showInputMessage="1" showErrorMessage="1" sqref="I4:J39">
      <formula1>-5000</formula1>
      <formula2>5000</formula2>
    </dataValidation>
    <dataValidation type="whole" allowBlank="1" showInputMessage="1" showErrorMessage="1" sqref="L4:M39">
      <formula1>0</formula1>
      <formula2>10000</formula2>
    </dataValidation>
    <dataValidation type="whole" allowBlank="1" showInputMessage="1" showErrorMessage="1" sqref="O39">
      <formula1>-1000</formula1>
      <formula2>1000</formula2>
    </dataValidation>
    <dataValidation type="whole" allowBlank="1" showInputMessage="1" showErrorMessage="1" sqref="R4:R39">
      <formula1>-500</formula1>
      <formula2>1000</formula2>
    </dataValidation>
    <dataValidation type="whole" allowBlank="1" showInputMessage="1" showErrorMessage="1" sqref="Q4:Q39">
      <formula1>0</formula1>
      <formula2>8000</formula2>
    </dataValidation>
    <dataValidation type="whole" allowBlank="1" showInputMessage="1" showErrorMessage="1" sqref="O4:O38">
      <formula1>-500</formula1>
      <formula2>500</formula2>
    </dataValidation>
    <dataValidation type="whole" allowBlank="1" showInputMessage="1" showErrorMessage="1" sqref="C4:D39">
      <formula1>-8000</formula1>
      <formula2>8000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Sheet2"/>
  <dimension ref="A1:E24"/>
  <sheetViews>
    <sheetView workbookViewId="0">
      <selection activeCell="B2" sqref="B2"/>
    </sheetView>
  </sheetViews>
  <sheetFormatPr defaultRowHeight="12.75"/>
  <cols>
    <col min="1" max="3" width="12.7109375" customWidth="1"/>
    <col min="4" max="4" width="13.5703125" customWidth="1"/>
    <col min="5" max="5" width="10.28515625" customWidth="1"/>
  </cols>
  <sheetData>
    <row r="1" spans="1:5" ht="78.75">
      <c r="A1" s="95" t="s">
        <v>25</v>
      </c>
      <c r="B1" s="99" t="s">
        <v>99</v>
      </c>
      <c r="C1" s="99" t="s">
        <v>100</v>
      </c>
      <c r="D1" s="99" t="s">
        <v>148</v>
      </c>
    </row>
    <row r="2" spans="1:5" ht="15.75">
      <c r="A2" s="98" t="s">
        <v>26</v>
      </c>
      <c r="B2" s="100"/>
      <c r="C2" s="100"/>
      <c r="D2" s="101">
        <v>-10</v>
      </c>
    </row>
    <row r="3" spans="1:5" ht="15.75">
      <c r="A3" s="98" t="s">
        <v>27</v>
      </c>
      <c r="B3" s="100"/>
      <c r="C3" s="100"/>
      <c r="D3" s="101">
        <v>-7</v>
      </c>
    </row>
    <row r="4" spans="1:5" ht="15.75">
      <c r="A4" s="98" t="s">
        <v>28</v>
      </c>
      <c r="B4" s="100"/>
      <c r="C4" s="100"/>
      <c r="D4" s="101">
        <v>-12</v>
      </c>
    </row>
    <row r="5" spans="1:5" ht="15.75">
      <c r="A5" s="98" t="s">
        <v>29</v>
      </c>
      <c r="B5" s="100"/>
      <c r="C5" s="100"/>
      <c r="D5" s="101">
        <v>-8</v>
      </c>
    </row>
    <row r="6" spans="1:5" ht="15.75">
      <c r="A6" s="98" t="s">
        <v>30</v>
      </c>
      <c r="B6" s="100"/>
      <c r="C6" s="100"/>
      <c r="D6" s="101">
        <v>-27</v>
      </c>
    </row>
    <row r="7" spans="1:5" ht="15.75">
      <c r="A7" s="98" t="s">
        <v>31</v>
      </c>
      <c r="B7" s="100"/>
      <c r="C7" s="100"/>
      <c r="D7" s="101">
        <v>-8.6999999999999993</v>
      </c>
    </row>
    <row r="8" spans="1:5" ht="15.75">
      <c r="A8" s="98" t="s">
        <v>32</v>
      </c>
      <c r="B8" s="100"/>
      <c r="C8" s="100"/>
      <c r="D8" s="101">
        <v>-8</v>
      </c>
    </row>
    <row r="9" spans="1:5" ht="15.75">
      <c r="A9" s="98" t="s">
        <v>33</v>
      </c>
      <c r="B9" s="100"/>
      <c r="C9" s="100"/>
      <c r="D9" s="101">
        <v>-8</v>
      </c>
    </row>
    <row r="10" spans="1:5" ht="15.75">
      <c r="A10" s="98" t="s">
        <v>34</v>
      </c>
      <c r="B10" s="100"/>
      <c r="C10" s="100"/>
      <c r="D10" s="101">
        <v>-8.1999999999999993</v>
      </c>
    </row>
    <row r="11" spans="1:5" ht="15.75">
      <c r="A11" s="98" t="s">
        <v>35</v>
      </c>
      <c r="B11" s="100"/>
      <c r="C11" s="100"/>
      <c r="D11" s="101">
        <v>-8</v>
      </c>
    </row>
    <row r="12" spans="1:5" ht="15.75">
      <c r="A12" s="98" t="s">
        <v>36</v>
      </c>
      <c r="B12" s="100"/>
      <c r="C12" s="100"/>
      <c r="D12" s="101">
        <v>-8</v>
      </c>
    </row>
    <row r="13" spans="1:5" ht="15.75">
      <c r="A13" s="98" t="s">
        <v>37</v>
      </c>
      <c r="B13" s="100"/>
      <c r="C13" s="100"/>
      <c r="D13" s="101">
        <v>-12</v>
      </c>
    </row>
    <row r="14" spans="1:5" ht="15.75">
      <c r="B14" s="102"/>
      <c r="C14" s="102"/>
      <c r="D14" s="103">
        <f>(31*D2+28*D3+31*D4+31*D5+30*D6+31*D7+30*D8+31*D9+31*D10+30*D11+30*D12+31*D13)/365</f>
        <v>-10.410684931506848</v>
      </c>
      <c r="E14" s="98" t="s">
        <v>38</v>
      </c>
    </row>
    <row r="16" spans="1:5" ht="14.25">
      <c r="A16" s="96" t="s">
        <v>98</v>
      </c>
    </row>
    <row r="17" spans="1:4" ht="14.25">
      <c r="A17" s="96" t="s">
        <v>149</v>
      </c>
      <c r="D17" s="3"/>
    </row>
    <row r="18" spans="1:4" ht="14.25">
      <c r="A18" s="96"/>
    </row>
    <row r="19" spans="1:4" ht="14.25">
      <c r="A19" s="96"/>
    </row>
    <row r="20" spans="1:4" ht="14.25">
      <c r="A20" s="96"/>
    </row>
    <row r="21" spans="1:4" ht="14.25">
      <c r="A21" s="96"/>
    </row>
    <row r="22" spans="1:4" ht="14.25">
      <c r="A22" s="96"/>
    </row>
    <row r="23" spans="1:4" ht="14.25">
      <c r="A23" s="96"/>
    </row>
    <row r="24" spans="1:4" ht="14.25">
      <c r="A24" s="96"/>
    </row>
  </sheetData>
  <sheetProtection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8A32E7C5468641849546A8CCF0F952" ma:contentTypeVersion="0" ma:contentTypeDescription="Create a new document." ma:contentTypeScope="" ma:versionID="4df21a4a3d2003dfd243beb4376c2e42">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8DE2B5B064CFD941B43B4CDED72B513C" ma:contentTypeVersion="27" ma:contentTypeDescription="Create a new document." ma:contentTypeScope="" ma:versionID="165020067bddf227c4207f8ac4787b78">
  <xsd:schema xmlns:xsd="http://www.w3.org/2001/XMLSchema" xmlns:xs="http://www.w3.org/2001/XMLSchema" xmlns:p="http://schemas.microsoft.com/office/2006/metadata/properties" targetNamespace="http://schemas.microsoft.com/office/2006/metadata/properties" ma:root="true" ma:fieldsID="742db44584aecaf5fe209d4a27c37bb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1CFB31-3879-49BA-B410-BD9BE25CCB2D}"/>
</file>

<file path=customXml/itemProps2.xml><?xml version="1.0" encoding="utf-8"?>
<ds:datastoreItem xmlns:ds="http://schemas.openxmlformats.org/officeDocument/2006/customXml" ds:itemID="{20860983-32E3-4466-8B1F-B9715C834EAC}"/>
</file>

<file path=customXml/itemProps3.xml><?xml version="1.0" encoding="utf-8"?>
<ds:datastoreItem xmlns:ds="http://schemas.openxmlformats.org/officeDocument/2006/customXml" ds:itemID="{25585ED0-4A2D-44A5-BB01-787716C582D9}"/>
</file>

<file path=customXml/itemProps4.xml><?xml version="1.0" encoding="utf-8"?>
<ds:datastoreItem xmlns:ds="http://schemas.openxmlformats.org/officeDocument/2006/customXml" ds:itemID="{78D4D801-85BD-42BB-B7A2-162BE1E2BC3F}"/>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Worksheets</vt:lpstr>
      </vt:variant>
      <vt:variant>
        <vt:i4>3</vt:i4>
      </vt:variant>
    </vt:vector>
  </HeadingPairs>
  <TitlesOfParts>
    <vt:vector size="3" baseType="lpstr">
      <vt:lpstr>Data Entry</vt:lpstr>
      <vt:lpstr>Adjustments</vt:lpstr>
      <vt:lpstr>Variable Bias Supplemental Info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1970-01-01T04:00:00Z</cp:lastPrinted>
  <dcterms:created xsi:type="dcterms:W3CDTF">1970-01-01T04:00:00Z</dcterms:created>
  <dcterms:modified xsi:type="dcterms:W3CDTF">2011-10-11T15:02:51Z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0x0101008DE2B5B064CFD941B43B4CDED72B513C</vt:lpwstr>
  </property>
  <property fmtid="{D5CDD505-2E9C-101B-9397-08002B2CF9AE}" pid="3" name="_dlc_DocIdItemGuid">
    <vt:lpwstr>15453ffc-90a2-4089-b933-80e3556a0e95</vt:lpwstr>
  </property>
</Properties>
</file>