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20" activeTab="0"/>
  </bookViews>
  <sheets>
    <sheet name="PARAMETERS" sheetId="1" r:id="rId1"/>
    <sheet name="SAMPLE" sheetId="2" r:id="rId2"/>
    <sheet name="DISCLAIMER" sheetId="3" r:id="rId3"/>
  </sheets>
  <definedNames>
    <definedName name="_xlnm.Print_Area" localSheetId="1">'SAMPLE'!$A$1:$S$25</definedName>
  </definedNames>
  <calcPr calcMode="manual" fullCalcOnLoad="1" calcCompleted="0" calcOnSave="0"/>
</workbook>
</file>

<file path=xl/comments2.xml><?xml version="1.0" encoding="utf-8"?>
<comments xmlns="http://schemas.openxmlformats.org/spreadsheetml/2006/main">
  <authors>
    <author>Hils, Doug</author>
  </authors>
  <commentList>
    <comment ref="E1" authorId="0">
      <text>
        <r>
          <rPr>
            <b/>
            <sz val="8"/>
            <rFont val="Tahoma"/>
            <family val="2"/>
          </rPr>
          <t xml:space="preserve">Clock-Minute average of ACE used for NERC CPS1. Sometimes referred to as "NERC ACE" </t>
        </r>
      </text>
    </comment>
    <comment ref="L1" authorId="0">
      <text>
        <r>
          <rPr>
            <b/>
            <sz val="8"/>
            <rFont val="Tahoma"/>
            <family val="2"/>
          </rPr>
          <t>Clock-Minute average of Control ACE per BAL-004-WECC-01</t>
        </r>
      </text>
    </comment>
    <comment ref="M1" authorId="0">
      <text>
        <r>
          <rPr>
            <b/>
            <sz val="8"/>
            <rFont val="Tahoma"/>
            <family val="2"/>
          </rPr>
          <t>Clock-Minute average of the Pseudo-Tie included in ACE for ACE Diversity Interchange (ADI), otherwise 0.</t>
        </r>
      </text>
    </comment>
  </commentList>
</comments>
</file>

<file path=xl/sharedStrings.xml><?xml version="1.0" encoding="utf-8"?>
<sst xmlns="http://schemas.openxmlformats.org/spreadsheetml/2006/main" count="85" uniqueCount="51">
  <si>
    <t>BAALlow</t>
  </si>
  <si>
    <t xml:space="preserve">BA  </t>
  </si>
  <si>
    <t xml:space="preserve">DATE    </t>
  </si>
  <si>
    <t xml:space="preserve"> TIME    </t>
  </si>
  <si>
    <t>TIMEZONE</t>
  </si>
  <si>
    <t>ACE</t>
  </si>
  <si>
    <t>FREQERROR</t>
  </si>
  <si>
    <t>FREQBIAS</t>
  </si>
  <si>
    <t>ACTFREQ</t>
  </si>
  <si>
    <t>SCHEDFREQ</t>
  </si>
  <si>
    <t>AQC</t>
  </si>
  <si>
    <t>FQC</t>
  </si>
  <si>
    <t>BAALhigh</t>
  </si>
  <si>
    <t>CPS1</t>
  </si>
  <si>
    <t>EST</t>
  </si>
  <si>
    <t>BA-05</t>
  </si>
  <si>
    <t>ACPS1</t>
  </si>
  <si>
    <t>MinCtLow</t>
  </si>
  <si>
    <t>MinCtHigh</t>
  </si>
  <si>
    <t>INSERT DATA FOR THESE FIELDS FOR ALL CLOCK-MINUTES FOR THE MONTH</t>
  </si>
  <si>
    <t>COPY THESE CELLS DOWN FOR ALL CLOCK-MINUTES</t>
  </si>
  <si>
    <t>Balancing</t>
  </si>
  <si>
    <t>Freq</t>
  </si>
  <si>
    <t>Authority</t>
  </si>
  <si>
    <t>Bias</t>
  </si>
  <si>
    <t>L10</t>
  </si>
  <si>
    <t>FTL_Low</t>
  </si>
  <si>
    <t>FTL_High</t>
  </si>
  <si>
    <t>BA</t>
  </si>
  <si>
    <t>Enter Balancing Authority Acronym in cell "A4" and its Frequency Bias setting (negative number) in cell "B4"</t>
  </si>
  <si>
    <t xml:space="preserve">NOTE: Interconnection Bias and Balancing Authority Frequency Bias must be valid for the data time period.  </t>
  </si>
  <si>
    <r>
      <t>0.001 x E</t>
    </r>
    <r>
      <rPr>
        <vertAlign val="subscript"/>
        <sz val="10"/>
        <rFont val="Arial"/>
        <family val="2"/>
      </rPr>
      <t>1</t>
    </r>
  </si>
  <si>
    <t>Western Interconnection</t>
  </si>
  <si>
    <t>WESTERN INTERCONNECTION CALCULATIONS</t>
  </si>
  <si>
    <t>CACE</t>
  </si>
  <si>
    <t>ADIAdj</t>
  </si>
  <si>
    <t>ATLlow</t>
  </si>
  <si>
    <t>MinCtLow2</t>
  </si>
  <si>
    <t>ATLhigh</t>
  </si>
  <si>
    <t>MinCtHigh2</t>
  </si>
  <si>
    <t>LowLimitCt</t>
  </si>
  <si>
    <t>HighLimitCt</t>
  </si>
  <si>
    <t>ATL_Low</t>
  </si>
  <si>
    <t>ATL_High</t>
  </si>
  <si>
    <t>REVISION INFORMATION</t>
  </si>
  <si>
    <t>EFFECTIVE DATE</t>
  </si>
  <si>
    <t>COMMENTS</t>
  </si>
  <si>
    <t>Workbook modified to reflect proposed implementation of the BAAL to use Scheduled Frequency.  FTL for all Interconnections are to use bounds based upon 3 X Epsilon1 offset from 60 Hz.</t>
  </si>
  <si>
    <t>If ATL_Low and ATL_High are not applicable, set at -9999 and 9999 respectively.</t>
  </si>
  <si>
    <t>Frequency Bias Setting Updated</t>
  </si>
  <si>
    <t>2016 Interconnection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</si>
</sst>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h:mm;@"/>
  </numFmts>
  <fonts count="45">
    <font>
      <sz val="10"/>
      <name val="Arial"/>
      <family val="0"/>
    </font>
    <font>
      <sz val="11"/>
      <color indexed="8"/>
      <name val="Calibri"/>
      <family val="2"/>
    </font>
    <font>
      <b/>
      <sz val="10"/>
      <color indexed="10"/>
      <name val="Arial"/>
      <family val="2"/>
    </font>
    <font>
      <b/>
      <sz val="10"/>
      <name val="Arial"/>
      <family val="2"/>
    </font>
    <font>
      <sz val="8"/>
      <name val="Arial"/>
      <family val="2"/>
    </font>
    <font>
      <b/>
      <sz val="8"/>
      <name val="Arial"/>
      <family val="2"/>
    </font>
    <font>
      <b/>
      <sz val="10"/>
      <color indexed="12"/>
      <name val="Arial"/>
      <family val="2"/>
    </font>
    <font>
      <b/>
      <sz val="8"/>
      <name val="Tahoma"/>
      <family val="2"/>
    </font>
    <font>
      <vertAlign val="subscript"/>
      <sz val="10"/>
      <name val="Arial"/>
      <family val="2"/>
    </font>
    <font>
      <b/>
      <sz val="10"/>
      <color indexed="4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3333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tint="-0.1499900072813034"/>
        <bgColor indexed="64"/>
      </patternFill>
    </fill>
    <fill>
      <patternFill patternType="solid">
        <fgColor theme="1" tint="0.4999800026416778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border>
    <border>
      <left style="thin"/>
      <right style="thin"/>
      <top style="medium"/>
      <bottom/>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thin"/>
      <top/>
      <bottom style="medium"/>
    </border>
    <border>
      <left style="thin"/>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thin"/>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9">
    <xf numFmtId="0" fontId="0" fillId="0" borderId="0" xfId="0" applyAlignment="1">
      <alignment/>
    </xf>
    <xf numFmtId="0" fontId="3" fillId="0" borderId="0" xfId="0" applyFont="1" applyAlignment="1">
      <alignment/>
    </xf>
    <xf numFmtId="167" fontId="3" fillId="0" borderId="0" xfId="0" applyNumberFormat="1" applyFont="1" applyAlignment="1">
      <alignment/>
    </xf>
    <xf numFmtId="164" fontId="3" fillId="0" borderId="0" xfId="0" applyNumberFormat="1" applyFont="1" applyAlignment="1">
      <alignment/>
    </xf>
    <xf numFmtId="166" fontId="3" fillId="0" borderId="0" xfId="0" applyNumberFormat="1" applyFont="1" applyAlignment="1">
      <alignment/>
    </xf>
    <xf numFmtId="0" fontId="0" fillId="33" borderId="0" xfId="0" applyFill="1" applyAlignment="1">
      <alignment/>
    </xf>
    <xf numFmtId="14" fontId="0" fillId="33" borderId="0" xfId="0" applyNumberFormat="1" applyFill="1" applyAlignment="1">
      <alignment/>
    </xf>
    <xf numFmtId="20" fontId="0" fillId="33" borderId="0" xfId="0" applyNumberFormat="1" applyFill="1" applyAlignment="1">
      <alignment/>
    </xf>
    <xf numFmtId="0" fontId="3" fillId="33" borderId="0" xfId="0" applyFont="1" applyFill="1" applyAlignment="1">
      <alignment/>
    </xf>
    <xf numFmtId="2" fontId="0" fillId="0" borderId="0" xfId="0" applyNumberFormat="1" applyAlignment="1">
      <alignment/>
    </xf>
    <xf numFmtId="164" fontId="3" fillId="0" borderId="0" xfId="0" applyNumberFormat="1" applyFont="1" applyAlignment="1" applyProtection="1">
      <alignment/>
      <protection/>
    </xf>
    <xf numFmtId="0" fontId="0" fillId="0" borderId="0" xfId="0" applyAlignment="1" applyProtection="1">
      <alignment/>
      <protection/>
    </xf>
    <xf numFmtId="166" fontId="0" fillId="0" borderId="0" xfId="0" applyNumberFormat="1" applyAlignment="1" applyProtection="1">
      <alignment/>
      <protection/>
    </xf>
    <xf numFmtId="165" fontId="0" fillId="0" borderId="0" xfId="0" applyNumberFormat="1" applyAlignment="1" applyProtection="1">
      <alignment/>
      <protection/>
    </xf>
    <xf numFmtId="0" fontId="3" fillId="33" borderId="10" xfId="0" applyFont="1" applyFill="1" applyBorder="1" applyAlignment="1" applyProtection="1">
      <alignment horizontal="center"/>
      <protection/>
    </xf>
    <xf numFmtId="0" fontId="3" fillId="33" borderId="11" xfId="0" applyFont="1" applyFill="1" applyBorder="1" applyAlignment="1" applyProtection="1">
      <alignment horizontal="center"/>
      <protection/>
    </xf>
    <xf numFmtId="0" fontId="5" fillId="33" borderId="11" xfId="0" applyFont="1" applyFill="1" applyBorder="1" applyAlignment="1" applyProtection="1">
      <alignment/>
      <protection/>
    </xf>
    <xf numFmtId="0" fontId="3" fillId="33" borderId="11" xfId="0" applyFont="1" applyFill="1" applyBorder="1" applyAlignment="1" applyProtection="1">
      <alignment/>
      <protection/>
    </xf>
    <xf numFmtId="0" fontId="0" fillId="33" borderId="11" xfId="0" applyFill="1" applyBorder="1" applyAlignment="1" applyProtection="1">
      <alignment/>
      <protection/>
    </xf>
    <xf numFmtId="166" fontId="3" fillId="33" borderId="12" xfId="0" applyNumberFormat="1" applyFont="1" applyFill="1" applyBorder="1" applyAlignment="1" applyProtection="1">
      <alignment horizontal="center"/>
      <protection/>
    </xf>
    <xf numFmtId="0" fontId="3" fillId="33" borderId="13" xfId="0" applyFont="1" applyFill="1" applyBorder="1" applyAlignment="1" applyProtection="1">
      <alignment horizontal="center"/>
      <protection/>
    </xf>
    <xf numFmtId="0" fontId="3" fillId="33" borderId="13" xfId="0" applyFont="1" applyFill="1" applyBorder="1" applyAlignment="1" applyProtection="1">
      <alignment/>
      <protection/>
    </xf>
    <xf numFmtId="166" fontId="3" fillId="33" borderId="13" xfId="0" applyNumberFormat="1" applyFont="1" applyFill="1" applyBorder="1" applyAlignment="1" applyProtection="1">
      <alignment horizontal="center"/>
      <protection/>
    </xf>
    <xf numFmtId="0" fontId="3" fillId="33" borderId="14" xfId="0" applyFont="1" applyFill="1" applyBorder="1" applyAlignment="1" applyProtection="1">
      <alignment horizontal="center"/>
      <protection/>
    </xf>
    <xf numFmtId="0" fontId="6" fillId="33" borderId="15" xfId="0" applyFont="1" applyFill="1" applyBorder="1" applyAlignment="1" applyProtection="1">
      <alignment horizontal="center" wrapText="1"/>
      <protection locked="0"/>
    </xf>
    <xf numFmtId="0" fontId="6" fillId="33" borderId="16" xfId="0" applyFont="1" applyFill="1" applyBorder="1" applyAlignment="1" applyProtection="1">
      <alignment horizontal="center"/>
      <protection locked="0"/>
    </xf>
    <xf numFmtId="0" fontId="0" fillId="33" borderId="16" xfId="0" applyFont="1" applyFill="1" applyBorder="1" applyAlignment="1" applyProtection="1">
      <alignment/>
      <protection/>
    </xf>
    <xf numFmtId="2" fontId="0" fillId="33" borderId="16" xfId="0" applyNumberFormat="1" applyFont="1" applyFill="1" applyBorder="1" applyAlignment="1" applyProtection="1">
      <alignment horizontal="center"/>
      <protection/>
    </xf>
    <xf numFmtId="0" fontId="3" fillId="0" borderId="0" xfId="0" applyFont="1" applyAlignment="1" applyProtection="1">
      <alignment/>
      <protection/>
    </xf>
    <xf numFmtId="0" fontId="0" fillId="33" borderId="17" xfId="0" applyFont="1" applyFill="1" applyBorder="1" applyAlignment="1" applyProtection="1">
      <alignment/>
      <protection/>
    </xf>
    <xf numFmtId="2" fontId="2" fillId="34" borderId="0" xfId="0" applyNumberFormat="1" applyFont="1" applyFill="1" applyAlignment="1">
      <alignment/>
    </xf>
    <xf numFmtId="0" fontId="3" fillId="34" borderId="0" xfId="0" applyFont="1" applyFill="1" applyAlignment="1">
      <alignment/>
    </xf>
    <xf numFmtId="164" fontId="2" fillId="34" borderId="0" xfId="0" applyNumberFormat="1" applyFont="1" applyFill="1" applyAlignment="1">
      <alignment/>
    </xf>
    <xf numFmtId="165" fontId="0" fillId="34" borderId="0" xfId="0" applyNumberFormat="1" applyFill="1" applyAlignment="1">
      <alignment/>
    </xf>
    <xf numFmtId="0" fontId="0" fillId="34" borderId="0" xfId="0" applyFill="1" applyAlignment="1">
      <alignment/>
    </xf>
    <xf numFmtId="2" fontId="0" fillId="34" borderId="0" xfId="0" applyNumberFormat="1" applyFill="1" applyAlignment="1">
      <alignment/>
    </xf>
    <xf numFmtId="2" fontId="3" fillId="35" borderId="0" xfId="0" applyNumberFormat="1" applyFont="1" applyFill="1" applyAlignment="1">
      <alignment/>
    </xf>
    <xf numFmtId="0" fontId="3" fillId="35" borderId="0" xfId="0" applyFont="1" applyFill="1" applyAlignment="1">
      <alignment/>
    </xf>
    <xf numFmtId="165" fontId="3" fillId="35" borderId="0" xfId="0" applyNumberFormat="1" applyFont="1" applyFill="1" applyAlignment="1">
      <alignment/>
    </xf>
    <xf numFmtId="2" fontId="3" fillId="0" borderId="0" xfId="0" applyNumberFormat="1" applyFont="1" applyFill="1" applyAlignment="1">
      <alignment/>
    </xf>
    <xf numFmtId="0" fontId="3" fillId="0" borderId="0" xfId="0" applyFont="1" applyFill="1" applyAlignment="1">
      <alignment/>
    </xf>
    <xf numFmtId="165" fontId="3" fillId="0" borderId="0" xfId="0" applyNumberFormat="1" applyFont="1" applyFill="1" applyAlignment="1">
      <alignment/>
    </xf>
    <xf numFmtId="0" fontId="0" fillId="33" borderId="13" xfId="0" applyFont="1" applyFill="1" applyBorder="1" applyAlignment="1" applyProtection="1">
      <alignment/>
      <protection/>
    </xf>
    <xf numFmtId="166" fontId="3" fillId="35" borderId="0" xfId="0" applyNumberFormat="1" applyFont="1" applyFill="1" applyAlignment="1">
      <alignment/>
    </xf>
    <xf numFmtId="166" fontId="0" fillId="33" borderId="0" xfId="0" applyNumberFormat="1" applyFill="1" applyAlignment="1">
      <alignment/>
    </xf>
    <xf numFmtId="166" fontId="0" fillId="0" borderId="0" xfId="0" applyNumberFormat="1" applyAlignment="1">
      <alignment/>
    </xf>
    <xf numFmtId="0" fontId="0" fillId="33" borderId="18" xfId="0" applyFill="1" applyBorder="1" applyAlignment="1" applyProtection="1">
      <alignment/>
      <protection/>
    </xf>
    <xf numFmtId="0" fontId="0" fillId="33" borderId="19" xfId="0" applyFill="1" applyBorder="1" applyAlignment="1" applyProtection="1">
      <alignment/>
      <protection/>
    </xf>
    <xf numFmtId="0" fontId="0" fillId="33" borderId="20" xfId="0" applyFill="1" applyBorder="1" applyAlignment="1" applyProtection="1">
      <alignment/>
      <protection/>
    </xf>
    <xf numFmtId="0" fontId="3" fillId="0" borderId="21" xfId="0" applyFont="1" applyBorder="1" applyAlignment="1" applyProtection="1">
      <alignment/>
      <protection/>
    </xf>
    <xf numFmtId="0" fontId="3" fillId="0" borderId="22" xfId="0" applyFont="1"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44" fillId="33" borderId="16" xfId="0" applyFont="1" applyFill="1" applyBorder="1" applyAlignment="1" applyProtection="1">
      <alignment/>
      <protection locked="0"/>
    </xf>
    <xf numFmtId="0" fontId="44" fillId="33" borderId="24" xfId="0" applyFont="1" applyFill="1" applyBorder="1" applyAlignment="1" applyProtection="1">
      <alignment/>
      <protection locked="0"/>
    </xf>
    <xf numFmtId="14" fontId="0" fillId="0" borderId="25" xfId="0" applyNumberFormat="1" applyFont="1" applyBorder="1" applyAlignment="1" applyProtection="1">
      <alignment horizontal="left" vertical="top" wrapText="1"/>
      <protection/>
    </xf>
    <xf numFmtId="14" fontId="0" fillId="0" borderId="26" xfId="0" applyNumberFormat="1" applyBorder="1" applyAlignment="1" applyProtection="1">
      <alignment horizontal="left" vertical="top"/>
      <protection/>
    </xf>
    <xf numFmtId="14" fontId="0" fillId="0" borderId="15" xfId="0" applyNumberFormat="1" applyFont="1" applyBorder="1" applyAlignment="1" applyProtection="1">
      <alignment horizontal="left" vertical="top" wrapText="1"/>
      <protection/>
    </xf>
    <xf numFmtId="14" fontId="0" fillId="0" borderId="16" xfId="0" applyNumberFormat="1" applyBorder="1" applyAlignment="1" applyProtection="1">
      <alignment horizontal="left" vertical="top"/>
      <protection/>
    </xf>
    <xf numFmtId="165" fontId="0" fillId="33" borderId="16" xfId="0" applyNumberFormat="1" applyFont="1" applyFill="1" applyBorder="1" applyAlignment="1" applyProtection="1">
      <alignment/>
      <protection/>
    </xf>
    <xf numFmtId="165" fontId="0" fillId="33" borderId="24" xfId="0" applyNumberFormat="1" applyFont="1" applyFill="1" applyBorder="1" applyAlignment="1" applyProtection="1">
      <alignment/>
      <protection/>
    </xf>
    <xf numFmtId="0" fontId="0" fillId="0" borderId="26" xfId="0" applyFont="1" applyBorder="1" applyAlignment="1" applyProtection="1">
      <alignment horizontal="left" vertical="top" wrapText="1"/>
      <protection/>
    </xf>
    <xf numFmtId="0" fontId="0" fillId="0" borderId="26" xfId="0" applyBorder="1" applyAlignment="1" applyProtection="1">
      <alignment horizontal="left" vertical="top" wrapText="1"/>
      <protection/>
    </xf>
    <xf numFmtId="0" fontId="0" fillId="0" borderId="26" xfId="0" applyBorder="1" applyAlignment="1">
      <alignment wrapText="1"/>
    </xf>
    <xf numFmtId="0" fontId="0" fillId="0" borderId="27" xfId="0" applyBorder="1" applyAlignment="1">
      <alignment wrapText="1"/>
    </xf>
    <xf numFmtId="0" fontId="0" fillId="0" borderId="16" xfId="0" applyFont="1" applyBorder="1" applyAlignment="1" applyProtection="1">
      <alignment horizontal="left" vertical="top" wrapText="1"/>
      <protection/>
    </xf>
    <xf numFmtId="0" fontId="0" fillId="0" borderId="16" xfId="0" applyBorder="1" applyAlignment="1" applyProtection="1">
      <alignment horizontal="left" vertical="top" wrapText="1"/>
      <protection/>
    </xf>
    <xf numFmtId="0" fontId="0" fillId="0" borderId="16" xfId="0" applyBorder="1" applyAlignment="1">
      <alignment wrapText="1"/>
    </xf>
    <xf numFmtId="0" fontId="0" fillId="0" borderId="24"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8</xdr:col>
      <xdr:colOff>523875</xdr:colOff>
      <xdr:row>18</xdr:row>
      <xdr:rowOff>38100</xdr:rowOff>
    </xdr:to>
    <xdr:sp>
      <xdr:nvSpPr>
        <xdr:cNvPr id="1" name="Text Box 1"/>
        <xdr:cNvSpPr txBox="1">
          <a:spLocks noChangeArrowheads="1"/>
        </xdr:cNvSpPr>
      </xdr:nvSpPr>
      <xdr:spPr>
        <a:xfrm>
          <a:off x="47625" y="38100"/>
          <a:ext cx="5353050" cy="291465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200" b="0" i="0" u="none" baseline="0">
              <a:solidFill>
                <a:srgbClr val="0000FF"/>
              </a:solidFill>
              <a:latin typeface="Arial"/>
              <a:ea typeface="Arial"/>
              <a:cs typeface="Arial"/>
            </a:rPr>
            <a:t>DISCLAIMER:
</a:t>
          </a:r>
          <a:r>
            <a:rPr lang="en-US" cap="none" sz="1200" b="0" i="0" u="none" baseline="0">
              <a:solidFill>
                <a:srgbClr val="0000FF"/>
              </a:solidFill>
              <a:latin typeface="Arial"/>
              <a:ea typeface="Arial"/>
              <a:cs typeface="Arial"/>
            </a:rPr>
            <a:t>THE USE OF THIS BAAL WORKBOOK IS PROVIDED FREE OF CHARGE AND NEITHER DUKE ENERGY CORPORATION, NOR ITS SUBSIDIARIES, AFFILIATES, EMPLOYEES OR AGENTS MAKE ANY CLAIMS, PROMISES OR GUARANTEES ABOUT THE ACCURACY, COMPLETENESS, OR ADEQUACY OF THE RESULTS OBTAINED THROUGH THE USE THEREOF AND HEREBY DISCLAIMS ANY RESPONSIBILITY OR LIABILITY WHATSOEVER FOR ANY ERRORS, OMISSIONS, OR DISCREPANCIES IN ANY SUCH RESULTS OR IN ANY WAY ASSOCIATED WITH THE USE OF THIS BAAL WORKBOOK.  BY USING THE BAAL WORKBOOK THE USER AGREES TO THE TERMS OF THE DISCLAIMER AND WILL NOT HOLD DUKE ENERGY CORPORATION, ITS SUBSIDIARIES, AFFILIATES, EMPLOYEES OR AGENTS LIABLE FOR ANY ERRORS , OMISSIONS, OR DISCREPANCIES IN ANY WAY ASSOCIATED WITH THE USE OF THIS BAAL WORKBOOK.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13"/>
  <sheetViews>
    <sheetView tabSelected="1" zoomScalePageLayoutView="0" workbookViewId="0" topLeftCell="A1">
      <selection activeCell="A1" sqref="A1"/>
    </sheetView>
  </sheetViews>
  <sheetFormatPr defaultColWidth="9.140625" defaultRowHeight="12.75"/>
  <cols>
    <col min="1" max="1" width="25.140625" style="11" customWidth="1"/>
    <col min="2" max="2" width="17.7109375" style="11" customWidth="1"/>
    <col min="3" max="3" width="17.57421875" style="11" bestFit="1" customWidth="1"/>
    <col min="4" max="4" width="9.140625" style="11" customWidth="1"/>
    <col min="5" max="5" width="10.00390625" style="11" bestFit="1" customWidth="1"/>
    <col min="6" max="16384" width="9.140625" style="11" customWidth="1"/>
  </cols>
  <sheetData>
    <row r="1" spans="1:9" ht="13.5" thickBot="1">
      <c r="A1" s="10" t="s">
        <v>33</v>
      </c>
      <c r="F1" s="12"/>
      <c r="H1" s="13"/>
      <c r="I1" s="13"/>
    </row>
    <row r="2" spans="1:9" ht="12.75">
      <c r="A2" s="14" t="s">
        <v>21</v>
      </c>
      <c r="B2" s="15" t="s">
        <v>22</v>
      </c>
      <c r="C2" s="16" t="s">
        <v>50</v>
      </c>
      <c r="D2" s="15">
        <v>2016</v>
      </c>
      <c r="E2" s="17" t="s">
        <v>32</v>
      </c>
      <c r="F2" s="18"/>
      <c r="G2" s="46"/>
      <c r="H2" s="47"/>
      <c r="I2" s="48"/>
    </row>
    <row r="3" spans="1:9" ht="15.75">
      <c r="A3" s="19" t="s">
        <v>23</v>
      </c>
      <c r="B3" s="20" t="s">
        <v>24</v>
      </c>
      <c r="C3" s="21" t="s">
        <v>24</v>
      </c>
      <c r="D3" s="22" t="s">
        <v>25</v>
      </c>
      <c r="E3" s="42" t="s">
        <v>31</v>
      </c>
      <c r="F3" s="20" t="s">
        <v>26</v>
      </c>
      <c r="G3" s="23" t="s">
        <v>27</v>
      </c>
      <c r="H3" s="20" t="s">
        <v>42</v>
      </c>
      <c r="I3" s="23" t="s">
        <v>43</v>
      </c>
    </row>
    <row r="4" spans="1:9" ht="13.5" thickBot="1">
      <c r="A4" s="24" t="s">
        <v>28</v>
      </c>
      <c r="B4" s="25">
        <v>-50</v>
      </c>
      <c r="C4" s="26">
        <v>-1636.44</v>
      </c>
      <c r="D4" s="27">
        <f>1.65*0.073*SQRT(B4*(C4))</f>
        <v>34.45417456499285</v>
      </c>
      <c r="E4" s="29">
        <v>0.0228</v>
      </c>
      <c r="F4" s="59">
        <v>59.9316</v>
      </c>
      <c r="G4" s="60">
        <v>60.0684</v>
      </c>
      <c r="H4" s="53">
        <f>-4*D4</f>
        <v>-137.8166982599714</v>
      </c>
      <c r="I4" s="54">
        <f>4*D4</f>
        <v>137.8166982599714</v>
      </c>
    </row>
    <row r="5" spans="1:9" ht="12.75">
      <c r="A5" s="10" t="s">
        <v>29</v>
      </c>
      <c r="B5" s="28"/>
      <c r="C5" s="28"/>
      <c r="F5" s="12"/>
      <c r="H5" s="13"/>
      <c r="I5" s="13"/>
    </row>
    <row r="6" ht="12.75">
      <c r="A6" s="28" t="s">
        <v>30</v>
      </c>
    </row>
    <row r="7" ht="12.75">
      <c r="A7" s="28"/>
    </row>
    <row r="8" ht="12.75">
      <c r="A8" s="28" t="s">
        <v>48</v>
      </c>
    </row>
    <row r="9" ht="12.75">
      <c r="A9" s="28"/>
    </row>
    <row r="10" ht="13.5" thickBot="1"/>
    <row r="11" spans="1:10" ht="12.75">
      <c r="A11" s="49" t="s">
        <v>44</v>
      </c>
      <c r="B11" s="50" t="s">
        <v>45</v>
      </c>
      <c r="C11" s="50" t="s">
        <v>46</v>
      </c>
      <c r="D11" s="51"/>
      <c r="E11" s="51"/>
      <c r="F11" s="51"/>
      <c r="G11" s="51"/>
      <c r="H11" s="51"/>
      <c r="I11" s="51"/>
      <c r="J11" s="52"/>
    </row>
    <row r="12" spans="1:10" ht="89.25">
      <c r="A12" s="55" t="s">
        <v>47</v>
      </c>
      <c r="B12" s="56">
        <v>41365</v>
      </c>
      <c r="C12" s="61" t="s">
        <v>48</v>
      </c>
      <c r="D12" s="62"/>
      <c r="E12" s="62"/>
      <c r="F12" s="62"/>
      <c r="G12" s="63"/>
      <c r="H12" s="63"/>
      <c r="I12" s="63"/>
      <c r="J12" s="64"/>
    </row>
    <row r="13" spans="1:10" ht="30" customHeight="1" thickBot="1">
      <c r="A13" s="57" t="s">
        <v>49</v>
      </c>
      <c r="B13" s="58">
        <v>42465</v>
      </c>
      <c r="C13" s="65"/>
      <c r="D13" s="66"/>
      <c r="E13" s="66"/>
      <c r="F13" s="66"/>
      <c r="G13" s="67"/>
      <c r="H13" s="67"/>
      <c r="I13" s="67"/>
      <c r="J13" s="68"/>
    </row>
  </sheetData>
  <sheetProtection sheet="1" objects="1" scenarios="1"/>
  <mergeCells count="2">
    <mergeCell ref="C12:J12"/>
    <mergeCell ref="C13:J1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Y25"/>
  <sheetViews>
    <sheetView zoomScalePageLayoutView="0" workbookViewId="0" topLeftCell="A1">
      <selection activeCell="A1" sqref="A1"/>
    </sheetView>
  </sheetViews>
  <sheetFormatPr defaultColWidth="9.140625" defaultRowHeight="12.75"/>
  <cols>
    <col min="1" max="1" width="6.140625" style="0" bestFit="1" customWidth="1"/>
    <col min="2" max="2" width="9.421875" style="0" customWidth="1"/>
    <col min="4" max="4" width="10.28125" style="0" bestFit="1" customWidth="1"/>
    <col min="5" max="5" width="8.57421875" style="0" customWidth="1"/>
    <col min="7" max="7" width="10.00390625" style="0" customWidth="1"/>
    <col min="8" max="8" width="9.7109375" style="0" bestFit="1" customWidth="1"/>
    <col min="9" max="9" width="12.28125" style="0" bestFit="1" customWidth="1"/>
    <col min="10" max="10" width="5.00390625" style="0" bestFit="1" customWidth="1"/>
    <col min="11" max="11" width="4.8515625" style="0" bestFit="1" customWidth="1"/>
    <col min="12" max="12" width="9.421875" style="45" customWidth="1"/>
    <col min="13" max="13" width="7.140625" style="0" bestFit="1" customWidth="1"/>
    <col min="14" max="14" width="13.28125" style="9" bestFit="1" customWidth="1"/>
    <col min="15" max="16" width="10.00390625" style="0" bestFit="1" customWidth="1"/>
    <col min="17" max="17" width="10.28125" style="0" bestFit="1" customWidth="1"/>
    <col min="18" max="19" width="12.28125" style="0" customWidth="1"/>
    <col min="20" max="20" width="7.8515625" style="9" bestFit="1" customWidth="1"/>
    <col min="21" max="21" width="11.00390625" style="9" bestFit="1" customWidth="1"/>
    <col min="22" max="22" width="8.57421875" style="0" bestFit="1" customWidth="1"/>
    <col min="23" max="24" width="11.28125" style="0" bestFit="1" customWidth="1"/>
    <col min="25" max="25" width="11.57421875" style="0" bestFit="1" customWidth="1"/>
  </cols>
  <sheetData>
    <row r="1" spans="1:25" ht="12.75">
      <c r="A1" s="1" t="s">
        <v>1</v>
      </c>
      <c r="B1" s="1" t="s">
        <v>2</v>
      </c>
      <c r="C1" s="2" t="s">
        <v>3</v>
      </c>
      <c r="D1" s="1" t="s">
        <v>4</v>
      </c>
      <c r="E1" s="3" t="s">
        <v>5</v>
      </c>
      <c r="F1" s="4" t="s">
        <v>6</v>
      </c>
      <c r="G1" s="1" t="s">
        <v>7</v>
      </c>
      <c r="H1" s="4" t="s">
        <v>8</v>
      </c>
      <c r="I1" s="1" t="s">
        <v>9</v>
      </c>
      <c r="J1" s="1" t="s">
        <v>10</v>
      </c>
      <c r="K1" s="1" t="s">
        <v>11</v>
      </c>
      <c r="L1" s="4" t="s">
        <v>34</v>
      </c>
      <c r="M1" s="1" t="s">
        <v>35</v>
      </c>
      <c r="N1" s="39" t="s">
        <v>0</v>
      </c>
      <c r="O1" s="40" t="s">
        <v>17</v>
      </c>
      <c r="P1" s="40" t="s">
        <v>12</v>
      </c>
      <c r="Q1" s="40" t="s">
        <v>18</v>
      </c>
      <c r="R1" s="41" t="s">
        <v>13</v>
      </c>
      <c r="S1" s="41" t="s">
        <v>16</v>
      </c>
      <c r="T1" s="39" t="s">
        <v>36</v>
      </c>
      <c r="U1" s="40" t="s">
        <v>37</v>
      </c>
      <c r="V1" s="40" t="s">
        <v>38</v>
      </c>
      <c r="W1" s="40" t="s">
        <v>39</v>
      </c>
      <c r="X1" s="40" t="s">
        <v>40</v>
      </c>
      <c r="Y1" s="40" t="s">
        <v>41</v>
      </c>
    </row>
    <row r="2" spans="1:25" s="1" customFormat="1" ht="12.75">
      <c r="A2" s="36"/>
      <c r="B2" s="36"/>
      <c r="C2" s="36"/>
      <c r="D2" s="36"/>
      <c r="E2" s="36"/>
      <c r="F2" s="36"/>
      <c r="G2" s="36"/>
      <c r="H2" s="36"/>
      <c r="I2" s="36"/>
      <c r="J2" s="36"/>
      <c r="K2" s="36"/>
      <c r="L2" s="43"/>
      <c r="M2" s="36"/>
      <c r="N2" s="36"/>
      <c r="O2" s="37"/>
      <c r="P2" s="37"/>
      <c r="Q2" s="37"/>
      <c r="R2" s="38"/>
      <c r="S2" s="38"/>
      <c r="T2" s="36"/>
      <c r="U2" s="37"/>
      <c r="V2" s="37"/>
      <c r="W2" s="37"/>
      <c r="X2" s="37"/>
      <c r="Y2" s="37"/>
    </row>
    <row r="3" spans="1:25" ht="12.75">
      <c r="A3" s="5" t="s">
        <v>15</v>
      </c>
      <c r="B3" s="6">
        <v>38169</v>
      </c>
      <c r="C3" s="7">
        <v>0.996527777777777</v>
      </c>
      <c r="D3" s="5" t="s">
        <v>14</v>
      </c>
      <c r="E3" s="5">
        <v>-80</v>
      </c>
      <c r="F3" s="5">
        <f>+H3-I3</f>
        <v>-0.10000000000000142</v>
      </c>
      <c r="G3" s="5">
        <v>-311</v>
      </c>
      <c r="H3" s="5">
        <v>59.9</v>
      </c>
      <c r="I3" s="5">
        <v>60</v>
      </c>
      <c r="J3" s="5">
        <v>0</v>
      </c>
      <c r="K3" s="5">
        <v>0</v>
      </c>
      <c r="L3" s="44">
        <f>+E3+20</f>
        <v>-60</v>
      </c>
      <c r="M3" s="5">
        <v>0</v>
      </c>
      <c r="N3" s="30">
        <f>IF(H3&lt;I3,(-10*G3)*(3*PARAMETERS!$E$4)^2/(H3-I3),"")</f>
        <v>-145.50321599999793</v>
      </c>
      <c r="O3" s="31">
        <f>IF(J3=1,0,IF(K3=1,0,IF(H3&lt;I3,IF(E3&lt;N3,O2+1,0),0)))</f>
        <v>0</v>
      </c>
      <c r="P3" s="32">
        <f>IF(H3&gt;I3,(-10*G3)*(3*PARAMETERS!$E$4)^2/(H3-I3),"")</f>
      </c>
      <c r="Q3" s="31">
        <f>IF(J3=1,0,IF(K3=1,0,IF(H3&gt;I3,IF(E3&gt;P3,Q2+1,0),0)))</f>
        <v>0</v>
      </c>
      <c r="R3" s="33">
        <f>(2-(E3*F3)/(-10*G3*PARAMETERS!$E$4*PARAMETERS!$E$4))*100</f>
        <v>-294.8344234535752</v>
      </c>
      <c r="S3" s="33">
        <f>+R3</f>
        <v>-294.8344234535752</v>
      </c>
      <c r="T3" s="30">
        <f>PARAMETERS!$H$4</f>
        <v>-137.8166982599714</v>
      </c>
      <c r="U3" s="30">
        <f>IF(E3&lt;T3,U2+1,0)</f>
        <v>0</v>
      </c>
      <c r="V3" s="30">
        <f>PARAMETERS!$I$4</f>
        <v>137.8166982599714</v>
      </c>
      <c r="W3" s="30">
        <f>IF(E3&gt;V3,W2+1,0)</f>
        <v>0</v>
      </c>
      <c r="X3" s="34">
        <f>IF(O3&gt;0,X2+1,IF(U3&gt;0,X2+1,0))</f>
        <v>0</v>
      </c>
      <c r="Y3" s="34">
        <f>IF(Q3&gt;0,Y2+1,IF(W3&gt;0,Y2+1,0))</f>
        <v>0</v>
      </c>
    </row>
    <row r="4" spans="1:25" ht="12.75">
      <c r="A4" s="5" t="s">
        <v>15</v>
      </c>
      <c r="B4" s="6">
        <v>38169</v>
      </c>
      <c r="C4" s="7">
        <v>0.997222222222222</v>
      </c>
      <c r="D4" s="5" t="s">
        <v>14</v>
      </c>
      <c r="E4" s="5">
        <v>-81</v>
      </c>
      <c r="F4" s="5">
        <f>+H4-I4</f>
        <v>-0.09749999999999659</v>
      </c>
      <c r="G4" s="5">
        <v>-311</v>
      </c>
      <c r="H4" s="5">
        <v>59.9025</v>
      </c>
      <c r="I4" s="5">
        <v>60</v>
      </c>
      <c r="J4" s="5">
        <v>0</v>
      </c>
      <c r="K4" s="5">
        <v>0</v>
      </c>
      <c r="L4" s="44">
        <f>+E4+20</f>
        <v>-61</v>
      </c>
      <c r="M4" s="5">
        <v>0</v>
      </c>
      <c r="N4" s="30">
        <f>IF(H4&lt;I4,(-10*G4)*(3*PARAMETERS!$E$4)^2/(H4-I4),"")</f>
        <v>-149.23406769231292</v>
      </c>
      <c r="O4" s="31">
        <f aca="true" t="shared" si="0" ref="O4:O19">IF(J4=1,0,IF(K4=1,0,IF(H4&lt;I4,IF(E4&lt;N4,O3+1,0),0)))</f>
        <v>0</v>
      </c>
      <c r="P4" s="32">
        <f>IF(H4&gt;I4,(-10*G4)*(3*PARAMETERS!$E$4)^2/(H4-I4),"")</f>
      </c>
      <c r="Q4" s="31">
        <f aca="true" t="shared" si="1" ref="Q4:Q19">IF(J4=1,0,IF(K4=1,0,IF(H4&gt;I4,IF(E4&gt;P4,Q3+1,0),0)))</f>
        <v>0</v>
      </c>
      <c r="R4" s="33">
        <f>(2-(E4*F4)/(-10*G4*PARAMETERS!$E$4*PARAMETERS!$E$4))*100</f>
        <v>-288.4943574030523</v>
      </c>
      <c r="S4" s="33">
        <f aca="true" t="shared" si="2" ref="S4:S19">+R4</f>
        <v>-288.4943574030523</v>
      </c>
      <c r="T4" s="30">
        <f>PARAMETERS!$H$4</f>
        <v>-137.8166982599714</v>
      </c>
      <c r="U4" s="30">
        <f aca="true" t="shared" si="3" ref="U4:U19">IF(E4&lt;T4,U3+1,0)</f>
        <v>0</v>
      </c>
      <c r="V4" s="30">
        <f>PARAMETERS!$I$4</f>
        <v>137.8166982599714</v>
      </c>
      <c r="W4" s="30">
        <f aca="true" t="shared" si="4" ref="W4:W19">IF(E4&gt;V4,W3+1,0)</f>
        <v>0</v>
      </c>
      <c r="X4" s="34">
        <f aca="true" t="shared" si="5" ref="X4:X19">IF(O4&gt;0,X3+1,IF(U4&gt;0,X3+1,0))</f>
        <v>0</v>
      </c>
      <c r="Y4" s="34">
        <f aca="true" t="shared" si="6" ref="Y4:Y19">IF(Q4&gt;0,Y3+1,IF(W4&gt;0,Y3+1,0))</f>
        <v>0</v>
      </c>
    </row>
    <row r="5" spans="1:25" ht="12.75">
      <c r="A5" s="5" t="s">
        <v>15</v>
      </c>
      <c r="B5" s="6">
        <v>38169</v>
      </c>
      <c r="C5" s="7">
        <v>0.997916666666666</v>
      </c>
      <c r="D5" s="5" t="s">
        <v>14</v>
      </c>
      <c r="E5" s="5">
        <v>-85</v>
      </c>
      <c r="F5" s="5">
        <f aca="true" t="shared" si="7" ref="F5:F18">+H5-I5</f>
        <v>-0.09499999999999886</v>
      </c>
      <c r="G5" s="5">
        <v>-311</v>
      </c>
      <c r="H5" s="5">
        <v>59.905</v>
      </c>
      <c r="I5" s="5">
        <v>60</v>
      </c>
      <c r="J5" s="5">
        <v>0</v>
      </c>
      <c r="K5" s="5">
        <v>0</v>
      </c>
      <c r="L5" s="44">
        <f>+E5+20</f>
        <v>-65</v>
      </c>
      <c r="M5" s="5">
        <v>0</v>
      </c>
      <c r="N5" s="30">
        <f>IF(H5&lt;I5,(-10*G5)*(3*PARAMETERS!$E$4)^2/(H5-I5),"")</f>
        <v>-153.16128000000182</v>
      </c>
      <c r="O5" s="31">
        <f t="shared" si="0"/>
        <v>0</v>
      </c>
      <c r="P5" s="32">
        <f>IF(H5&gt;I5,(-10*G5)*(3*PARAMETERS!$E$4)^2/(H5-I5),"")</f>
      </c>
      <c r="Q5" s="31">
        <f t="shared" si="1"/>
        <v>0</v>
      </c>
      <c r="R5" s="33">
        <f>(2-(E5*F5)/(-10*G5*PARAMETERS!$E$4*PARAMETERS!$E$4))*100</f>
        <v>-299.47349617343934</v>
      </c>
      <c r="S5" s="33">
        <f t="shared" si="2"/>
        <v>-299.47349617343934</v>
      </c>
      <c r="T5" s="30">
        <f>PARAMETERS!$H$4</f>
        <v>-137.8166982599714</v>
      </c>
      <c r="U5" s="30">
        <f t="shared" si="3"/>
        <v>0</v>
      </c>
      <c r="V5" s="30">
        <f>PARAMETERS!$I$4</f>
        <v>137.8166982599714</v>
      </c>
      <c r="W5" s="30">
        <f t="shared" si="4"/>
        <v>0</v>
      </c>
      <c r="X5" s="34">
        <f t="shared" si="5"/>
        <v>0</v>
      </c>
      <c r="Y5" s="34">
        <f t="shared" si="6"/>
        <v>0</v>
      </c>
    </row>
    <row r="6" spans="1:25" ht="12.75">
      <c r="A6" s="5" t="s">
        <v>15</v>
      </c>
      <c r="B6" s="6">
        <v>38169</v>
      </c>
      <c r="C6" s="7">
        <v>0.998611111111111</v>
      </c>
      <c r="D6" s="5" t="s">
        <v>14</v>
      </c>
      <c r="E6" s="5">
        <v>-84.054053145351</v>
      </c>
      <c r="F6" s="5">
        <f t="shared" si="7"/>
        <v>-0.09250000000000114</v>
      </c>
      <c r="G6" s="5">
        <v>-311</v>
      </c>
      <c r="H6" s="5">
        <v>59.9075</v>
      </c>
      <c r="I6" s="5">
        <v>60</v>
      </c>
      <c r="J6" s="5">
        <v>0</v>
      </c>
      <c r="K6" s="5">
        <v>0</v>
      </c>
      <c r="L6" s="44">
        <f>+E6+20</f>
        <v>-64.054053145351</v>
      </c>
      <c r="M6" s="5">
        <v>0</v>
      </c>
      <c r="N6" s="30">
        <f>IF(H6&lt;I6,(-10*G6)*(3*PARAMETERS!$E$4)^2/(H6-I6),"")</f>
        <v>-157.3007740540521</v>
      </c>
      <c r="O6" s="31">
        <f t="shared" si="0"/>
        <v>0</v>
      </c>
      <c r="P6" s="32">
        <f>IF(H6&gt;I6,(-10*G6)*(3*PARAMETERS!$E$4)^2/(H6-I6),"")</f>
      </c>
      <c r="Q6" s="31">
        <f t="shared" si="1"/>
        <v>0</v>
      </c>
      <c r="R6" s="33">
        <f>(2-(E6*F6)/(-10*G6*PARAMETERS!$E$4*PARAMETERS!$E$4))*100</f>
        <v>-280.9172000947771</v>
      </c>
      <c r="S6" s="33">
        <f t="shared" si="2"/>
        <v>-280.9172000947771</v>
      </c>
      <c r="T6" s="30">
        <f>PARAMETERS!$H$4</f>
        <v>-137.8166982599714</v>
      </c>
      <c r="U6" s="30">
        <f t="shared" si="3"/>
        <v>0</v>
      </c>
      <c r="V6" s="30">
        <f>PARAMETERS!$I$4</f>
        <v>137.8166982599714</v>
      </c>
      <c r="W6" s="30">
        <f t="shared" si="4"/>
        <v>0</v>
      </c>
      <c r="X6" s="34">
        <f t="shared" si="5"/>
        <v>0</v>
      </c>
      <c r="Y6" s="34">
        <f t="shared" si="6"/>
        <v>0</v>
      </c>
    </row>
    <row r="7" spans="1:25" ht="12.75">
      <c r="A7" s="5" t="s">
        <v>15</v>
      </c>
      <c r="B7" s="6">
        <v>38169</v>
      </c>
      <c r="C7" s="7">
        <v>0.9993055555555556</v>
      </c>
      <c r="D7" s="5" t="s">
        <v>14</v>
      </c>
      <c r="E7" s="5">
        <v>-86.38888792899927</v>
      </c>
      <c r="F7" s="5">
        <f t="shared" si="7"/>
        <v>-0.09000000000000341</v>
      </c>
      <c r="G7" s="5">
        <v>-311</v>
      </c>
      <c r="H7" s="5">
        <v>59.91</v>
      </c>
      <c r="I7" s="5">
        <v>60</v>
      </c>
      <c r="J7" s="5">
        <v>0</v>
      </c>
      <c r="K7" s="5">
        <v>0</v>
      </c>
      <c r="L7" s="44">
        <f>+E7+20</f>
        <v>-66.38888792899927</v>
      </c>
      <c r="M7" s="5">
        <v>0</v>
      </c>
      <c r="N7" s="30">
        <f>IF(H7&lt;I7,(-10*G7)*(3*PARAMETERS!$E$4)^2/(H7-I7),"")</f>
        <v>-161.67023999999387</v>
      </c>
      <c r="O7" s="31">
        <f t="shared" si="0"/>
        <v>0</v>
      </c>
      <c r="P7" s="32">
        <f>IF(H7&gt;I7,(-10*G7)*(3*PARAMETERS!$E$4)^2/(H7-I7),"")</f>
      </c>
      <c r="Q7" s="31">
        <f t="shared" si="1"/>
        <v>0</v>
      </c>
      <c r="R7" s="33">
        <f>(2-(E7*F7)/(-10*G7*PARAMETERS!$E$4*PARAMETERS!$E$4))*100</f>
        <v>-280.9171999503575</v>
      </c>
      <c r="S7" s="33">
        <f t="shared" si="2"/>
        <v>-280.9171999503575</v>
      </c>
      <c r="T7" s="30">
        <f>PARAMETERS!$H$4</f>
        <v>-137.8166982599714</v>
      </c>
      <c r="U7" s="30">
        <f t="shared" si="3"/>
        <v>0</v>
      </c>
      <c r="V7" s="30">
        <f>PARAMETERS!$I$4</f>
        <v>137.8166982599714</v>
      </c>
      <c r="W7" s="30">
        <f t="shared" si="4"/>
        <v>0</v>
      </c>
      <c r="X7" s="34">
        <f t="shared" si="5"/>
        <v>0</v>
      </c>
      <c r="Y7" s="34">
        <f t="shared" si="6"/>
        <v>0</v>
      </c>
    </row>
    <row r="8" spans="1:25" ht="12.75">
      <c r="A8" s="5" t="s">
        <v>15</v>
      </c>
      <c r="B8" s="6">
        <v>38170</v>
      </c>
      <c r="C8" s="7">
        <v>0</v>
      </c>
      <c r="D8" s="5" t="s">
        <v>14</v>
      </c>
      <c r="E8" s="5">
        <v>-88.85714184162401</v>
      </c>
      <c r="F8" s="5">
        <f t="shared" si="7"/>
        <v>-0.06749999999999545</v>
      </c>
      <c r="G8" s="5">
        <v>-311</v>
      </c>
      <c r="H8" s="5">
        <v>59.9125</v>
      </c>
      <c r="I8" s="5">
        <v>59.98</v>
      </c>
      <c r="J8" s="5">
        <v>0</v>
      </c>
      <c r="K8" s="5">
        <v>0</v>
      </c>
      <c r="L8" s="44">
        <f>+E8+35</f>
        <v>-53.85714184162401</v>
      </c>
      <c r="M8" s="5">
        <v>0</v>
      </c>
      <c r="N8" s="30">
        <f>IF(H8&lt;I8,(-10*G8)*(3*PARAMETERS!$E$4)^2/(H8-I8),"")</f>
        <v>-215.5603200000145</v>
      </c>
      <c r="O8" s="31">
        <f t="shared" si="0"/>
        <v>0</v>
      </c>
      <c r="P8" s="32">
        <f>IF(H8&gt;I8,(-10*G8)*(3*PARAMETERS!$E$4)^2/(H8-I8),"")</f>
      </c>
      <c r="Q8" s="31">
        <f t="shared" si="1"/>
        <v>0</v>
      </c>
      <c r="R8" s="33">
        <f>(2-(E8*F8)/(-10*G8*PARAMETERS!$E$4*PARAMETERS!$E$4))*100</f>
        <v>-170.99326841533835</v>
      </c>
      <c r="S8" s="33">
        <f t="shared" si="2"/>
        <v>-170.99326841533835</v>
      </c>
      <c r="T8" s="30">
        <f>PARAMETERS!$H$4</f>
        <v>-137.8166982599714</v>
      </c>
      <c r="U8" s="30">
        <f t="shared" si="3"/>
        <v>0</v>
      </c>
      <c r="V8" s="30">
        <f>PARAMETERS!$I$4</f>
        <v>137.8166982599714</v>
      </c>
      <c r="W8" s="30">
        <f t="shared" si="4"/>
        <v>0</v>
      </c>
      <c r="X8" s="34">
        <f t="shared" si="5"/>
        <v>0</v>
      </c>
      <c r="Y8" s="34">
        <f t="shared" si="6"/>
        <v>0</v>
      </c>
    </row>
    <row r="9" spans="1:25" ht="12.75">
      <c r="A9" s="5" t="s">
        <v>15</v>
      </c>
      <c r="B9" s="6">
        <v>38170</v>
      </c>
      <c r="C9" s="7">
        <v>0.0006944444444444445</v>
      </c>
      <c r="D9" s="5" t="s">
        <v>14</v>
      </c>
      <c r="E9" s="5">
        <v>-92</v>
      </c>
      <c r="F9" s="5">
        <f t="shared" si="7"/>
        <v>-0.06499999999999773</v>
      </c>
      <c r="G9" s="5">
        <v>-311</v>
      </c>
      <c r="H9" s="5">
        <v>59.915</v>
      </c>
      <c r="I9" s="5">
        <v>59.98</v>
      </c>
      <c r="J9" s="5">
        <v>0</v>
      </c>
      <c r="K9" s="5">
        <v>0</v>
      </c>
      <c r="L9" s="44">
        <f aca="true" t="shared" si="8" ref="L9:L19">+E9+35</f>
        <v>-57</v>
      </c>
      <c r="M9" s="5">
        <v>0</v>
      </c>
      <c r="N9" s="30">
        <f>IF(H9&lt;I9,(-10*G9)*(3*PARAMETERS!$E$4)^2/(H9-I9),"")</f>
        <v>-223.85110153846938</v>
      </c>
      <c r="O9" s="31">
        <f t="shared" si="0"/>
        <v>0</v>
      </c>
      <c r="P9" s="32">
        <f>IF(H9&gt;I9,(-10*G9)*(3*PARAMETERS!$E$4)^2/(H9-I9),"")</f>
      </c>
      <c r="Q9" s="31">
        <f t="shared" si="1"/>
        <v>0</v>
      </c>
      <c r="R9" s="33">
        <f>(2-(E9*F9)/(-10*G9*PARAMETERS!$E$4*PARAMETERS!$E$4))*100</f>
        <v>-169.88873153152926</v>
      </c>
      <c r="S9" s="33">
        <f t="shared" si="2"/>
        <v>-169.88873153152926</v>
      </c>
      <c r="T9" s="30">
        <f>PARAMETERS!$H$4</f>
        <v>-137.8166982599714</v>
      </c>
      <c r="U9" s="30">
        <f t="shared" si="3"/>
        <v>0</v>
      </c>
      <c r="V9" s="30">
        <f>PARAMETERS!$I$4</f>
        <v>137.8166982599714</v>
      </c>
      <c r="W9" s="30">
        <f t="shared" si="4"/>
        <v>0</v>
      </c>
      <c r="X9" s="34">
        <f t="shared" si="5"/>
        <v>0</v>
      </c>
      <c r="Y9" s="34">
        <f t="shared" si="6"/>
        <v>0</v>
      </c>
    </row>
    <row r="10" spans="1:25" ht="12.75">
      <c r="A10" s="5" t="s">
        <v>15</v>
      </c>
      <c r="B10" s="6">
        <v>38170</v>
      </c>
      <c r="C10" s="7">
        <v>0.00138888888888889</v>
      </c>
      <c r="D10" s="5" t="s">
        <v>14</v>
      </c>
      <c r="E10" s="5">
        <v>-94.24242310007756</v>
      </c>
      <c r="F10" s="5">
        <f t="shared" si="7"/>
        <v>-0.0625</v>
      </c>
      <c r="G10" s="5">
        <v>-311</v>
      </c>
      <c r="H10" s="5">
        <v>59.9175</v>
      </c>
      <c r="I10" s="5">
        <v>59.98</v>
      </c>
      <c r="J10" s="5">
        <v>0</v>
      </c>
      <c r="K10" s="5">
        <v>0</v>
      </c>
      <c r="L10" s="44">
        <f t="shared" si="8"/>
        <v>-59.24242310007756</v>
      </c>
      <c r="M10" s="5">
        <v>0</v>
      </c>
      <c r="N10" s="30">
        <f>IF(H10&lt;I10,(-10*G10)*(3*PARAMETERS!$E$4)^2/(H10-I10),"")</f>
        <v>-232.8051456</v>
      </c>
      <c r="O10" s="31">
        <f t="shared" si="0"/>
        <v>0</v>
      </c>
      <c r="P10" s="32">
        <f>IF(H10&gt;I10,(-10*G10)*(3*PARAMETERS!$E$4)^2/(H10-I10),"")</f>
      </c>
      <c r="Q10" s="31">
        <f t="shared" si="1"/>
        <v>0</v>
      </c>
      <c r="R10" s="33">
        <f>(2-(E10*F10)/(-10*G10*PARAMETERS!$E$4*PARAMETERS!$E$4))*100</f>
        <v>-164.33121171557903</v>
      </c>
      <c r="S10" s="33">
        <f t="shared" si="2"/>
        <v>-164.33121171557903</v>
      </c>
      <c r="T10" s="30">
        <f>PARAMETERS!$H$4</f>
        <v>-137.8166982599714</v>
      </c>
      <c r="U10" s="30">
        <f t="shared" si="3"/>
        <v>0</v>
      </c>
      <c r="V10" s="30">
        <f>PARAMETERS!$I$4</f>
        <v>137.8166982599714</v>
      </c>
      <c r="W10" s="30">
        <f t="shared" si="4"/>
        <v>0</v>
      </c>
      <c r="X10" s="34">
        <f t="shared" si="5"/>
        <v>0</v>
      </c>
      <c r="Y10" s="34">
        <f t="shared" si="6"/>
        <v>0</v>
      </c>
    </row>
    <row r="11" spans="1:25" ht="12.75">
      <c r="A11" s="5" t="s">
        <v>15</v>
      </c>
      <c r="B11" s="6">
        <v>38170</v>
      </c>
      <c r="C11" s="7">
        <v>0.00208333333333333</v>
      </c>
      <c r="D11" s="5" t="s">
        <v>14</v>
      </c>
      <c r="E11" s="5">
        <v>-97.1874987851473</v>
      </c>
      <c r="F11" s="5">
        <f t="shared" si="7"/>
        <v>0.030000000000001137</v>
      </c>
      <c r="G11" s="5">
        <v>-311</v>
      </c>
      <c r="H11" s="5">
        <v>60.01</v>
      </c>
      <c r="I11" s="5">
        <v>59.98</v>
      </c>
      <c r="J11" s="5">
        <v>0</v>
      </c>
      <c r="K11" s="5">
        <v>0</v>
      </c>
      <c r="L11" s="44">
        <f t="shared" si="8"/>
        <v>-62.1874987851473</v>
      </c>
      <c r="M11" s="5">
        <v>0</v>
      </c>
      <c r="N11" s="30">
        <f>IF(H11&lt;I11,(-10*G11)*(3*PARAMETERS!$E$4)^2/(H11-I11),"")</f>
      </c>
      <c r="O11" s="31">
        <f t="shared" si="0"/>
        <v>0</v>
      </c>
      <c r="P11" s="32">
        <f>IF(H11&gt;I11,(-10*G11)*(3*PARAMETERS!$E$4)^2/(H11-I11),"")</f>
        <v>485.01071999998163</v>
      </c>
      <c r="Q11" s="31">
        <f t="shared" si="1"/>
        <v>0</v>
      </c>
      <c r="R11" s="33">
        <f>(2-(E11*F11)/(-10*G11*PARAMETERS!$E$4*PARAMETERS!$E$4))*100</f>
        <v>380.343949730917</v>
      </c>
      <c r="S11" s="33">
        <f t="shared" si="2"/>
        <v>380.343949730917</v>
      </c>
      <c r="T11" s="30">
        <f>PARAMETERS!$H$4</f>
        <v>-137.8166982599714</v>
      </c>
      <c r="U11" s="30">
        <f t="shared" si="3"/>
        <v>0</v>
      </c>
      <c r="V11" s="30">
        <f>PARAMETERS!$I$4</f>
        <v>137.8166982599714</v>
      </c>
      <c r="W11" s="30">
        <f t="shared" si="4"/>
        <v>0</v>
      </c>
      <c r="X11" s="34">
        <f t="shared" si="5"/>
        <v>0</v>
      </c>
      <c r="Y11" s="34">
        <f t="shared" si="6"/>
        <v>0</v>
      </c>
    </row>
    <row r="12" spans="1:25" ht="12.75">
      <c r="A12" s="5" t="s">
        <v>15</v>
      </c>
      <c r="B12" s="6">
        <v>38170</v>
      </c>
      <c r="C12" s="7">
        <v>0.00277777777777778</v>
      </c>
      <c r="D12" s="5" t="s">
        <v>14</v>
      </c>
      <c r="E12" s="5">
        <v>-100.32257935066426</v>
      </c>
      <c r="F12" s="5">
        <f t="shared" si="7"/>
        <v>0.07000000000000028</v>
      </c>
      <c r="G12" s="5">
        <v>-311</v>
      </c>
      <c r="H12" s="5">
        <v>60.05</v>
      </c>
      <c r="I12" s="5">
        <v>59.98</v>
      </c>
      <c r="J12" s="5">
        <v>0</v>
      </c>
      <c r="K12" s="5">
        <v>0</v>
      </c>
      <c r="L12" s="44">
        <f t="shared" si="8"/>
        <v>-65.32257935066426</v>
      </c>
      <c r="M12" s="5">
        <v>0</v>
      </c>
      <c r="N12" s="30">
        <f>IF(H12&lt;I12,(-10*G12)*(3*PARAMETERS!$E$4)^2/(H12-I12),"")</f>
      </c>
      <c r="O12" s="31">
        <f t="shared" si="0"/>
        <v>0</v>
      </c>
      <c r="P12" s="32">
        <f>IF(H12&gt;I12,(-10*G12)*(3*PARAMETERS!$E$4)^2/(H12-I12),"")</f>
        <v>207.8617371428563</v>
      </c>
      <c r="Q12" s="31">
        <f t="shared" si="1"/>
        <v>0</v>
      </c>
      <c r="R12" s="33">
        <f>(2-(E12*F12)/(-10*G12*PARAMETERS!$E$4*PARAMETERS!$E$4))*100</f>
        <v>634.3768249831587</v>
      </c>
      <c r="S12" s="33">
        <f t="shared" si="2"/>
        <v>634.3768249831587</v>
      </c>
      <c r="T12" s="30">
        <f>PARAMETERS!$H$4</f>
        <v>-137.8166982599714</v>
      </c>
      <c r="U12" s="30">
        <f t="shared" si="3"/>
        <v>0</v>
      </c>
      <c r="V12" s="30">
        <f>PARAMETERS!$I$4</f>
        <v>137.8166982599714</v>
      </c>
      <c r="W12" s="30">
        <f t="shared" si="4"/>
        <v>0</v>
      </c>
      <c r="X12" s="34">
        <f t="shared" si="5"/>
        <v>0</v>
      </c>
      <c r="Y12" s="34">
        <f t="shared" si="6"/>
        <v>0</v>
      </c>
    </row>
    <row r="13" spans="1:25" ht="12.75">
      <c r="A13" s="5" t="s">
        <v>15</v>
      </c>
      <c r="B13" s="6">
        <v>38170</v>
      </c>
      <c r="C13" s="7">
        <v>0.00347222222222222</v>
      </c>
      <c r="D13" s="5" t="s">
        <v>14</v>
      </c>
      <c r="E13" s="5">
        <v>-103.66666528442876</v>
      </c>
      <c r="F13" s="5">
        <f t="shared" si="7"/>
        <v>-0.054999999999999716</v>
      </c>
      <c r="G13" s="5">
        <v>-311</v>
      </c>
      <c r="H13" s="5">
        <v>59.925</v>
      </c>
      <c r="I13" s="5">
        <v>59.98</v>
      </c>
      <c r="J13" s="5">
        <v>0</v>
      </c>
      <c r="K13" s="5">
        <v>0</v>
      </c>
      <c r="L13" s="44">
        <f t="shared" si="8"/>
        <v>-68.66666528442876</v>
      </c>
      <c r="M13" s="5">
        <v>0</v>
      </c>
      <c r="N13" s="30">
        <f>IF(H13&lt;I13,(-10*G13)*(3*PARAMETERS!$E$4)^2/(H13-I13),"")</f>
        <v>-264.55130181818316</v>
      </c>
      <c r="O13" s="31">
        <f t="shared" si="0"/>
        <v>0</v>
      </c>
      <c r="P13" s="32">
        <f>IF(H13&gt;I13,(-10*G13)*(3*PARAMETERS!$E$4)^2/(H13-I13),"")</f>
      </c>
      <c r="Q13" s="31">
        <f t="shared" si="1"/>
        <v>0</v>
      </c>
      <c r="R13" s="33">
        <f>(2-(E13*F13)/(-10*G13*PARAMETERS!$E$4*PARAMETERS!$E$4))*100</f>
        <v>-152.67261251319675</v>
      </c>
      <c r="S13" s="33">
        <f t="shared" si="2"/>
        <v>-152.67261251319675</v>
      </c>
      <c r="T13" s="30">
        <f>PARAMETERS!$H$4</f>
        <v>-137.8166982599714</v>
      </c>
      <c r="U13" s="30">
        <f t="shared" si="3"/>
        <v>0</v>
      </c>
      <c r="V13" s="30">
        <f>PARAMETERS!$I$4</f>
        <v>137.8166982599714</v>
      </c>
      <c r="W13" s="30">
        <f t="shared" si="4"/>
        <v>0</v>
      </c>
      <c r="X13" s="34">
        <f t="shared" si="5"/>
        <v>0</v>
      </c>
      <c r="Y13" s="34">
        <f t="shared" si="6"/>
        <v>0</v>
      </c>
    </row>
    <row r="14" spans="1:25" ht="12.75">
      <c r="A14" s="5" t="s">
        <v>15</v>
      </c>
      <c r="B14" s="6">
        <v>38170</v>
      </c>
      <c r="C14" s="7">
        <v>0.00416666666666667</v>
      </c>
      <c r="D14" s="5" t="s">
        <v>14</v>
      </c>
      <c r="E14" s="5">
        <v>-107.24137783129132</v>
      </c>
      <c r="F14" s="5">
        <f t="shared" si="7"/>
        <v>-0.05249999999989541</v>
      </c>
      <c r="G14" s="5">
        <v>-311</v>
      </c>
      <c r="H14" s="5">
        <v>59.9275000000001</v>
      </c>
      <c r="I14" s="5">
        <v>59.98</v>
      </c>
      <c r="J14" s="5">
        <v>0</v>
      </c>
      <c r="K14" s="5">
        <v>0</v>
      </c>
      <c r="L14" s="44">
        <f t="shared" si="8"/>
        <v>-72.24137783129132</v>
      </c>
      <c r="M14" s="5">
        <v>0</v>
      </c>
      <c r="N14" s="30">
        <f>IF(H14&lt;I14,(-10*G14)*(3*PARAMETERS!$E$4)^2/(H14-I14),"")</f>
        <v>-277.148982857695</v>
      </c>
      <c r="O14" s="31">
        <f t="shared" si="0"/>
        <v>0</v>
      </c>
      <c r="P14" s="32">
        <f>IF(H14&gt;I14,(-10*G14)*(3*PARAMETERS!$E$4)^2/(H14-I14),"")</f>
      </c>
      <c r="Q14" s="31">
        <f t="shared" si="1"/>
        <v>0</v>
      </c>
      <c r="R14" s="33">
        <f>(2-(E14*F14)/(-10*G14*PARAMETERS!$E$4*PARAMETERS!$E$4))*100</f>
        <v>-148.25038523673732</v>
      </c>
      <c r="S14" s="33">
        <f t="shared" si="2"/>
        <v>-148.25038523673732</v>
      </c>
      <c r="T14" s="30">
        <f>PARAMETERS!$H$4</f>
        <v>-137.8166982599714</v>
      </c>
      <c r="U14" s="30">
        <f t="shared" si="3"/>
        <v>0</v>
      </c>
      <c r="V14" s="30">
        <f>PARAMETERS!$I$4</f>
        <v>137.8166982599714</v>
      </c>
      <c r="W14" s="30">
        <f t="shared" si="4"/>
        <v>0</v>
      </c>
      <c r="X14" s="34">
        <f t="shared" si="5"/>
        <v>0</v>
      </c>
      <c r="Y14" s="34">
        <f t="shared" si="6"/>
        <v>0</v>
      </c>
    </row>
    <row r="15" spans="1:25" ht="12.75">
      <c r="A15" s="5" t="s">
        <v>15</v>
      </c>
      <c r="B15" s="6">
        <v>38170</v>
      </c>
      <c r="C15" s="7">
        <v>0.00486111111111111</v>
      </c>
      <c r="D15" s="5" t="s">
        <v>14</v>
      </c>
      <c r="E15" s="5">
        <v>-111.07142698483867</v>
      </c>
      <c r="F15" s="5">
        <f t="shared" si="7"/>
        <v>-0.04999999999989768</v>
      </c>
      <c r="G15" s="5">
        <v>-311</v>
      </c>
      <c r="H15" s="5">
        <v>59.9300000000001</v>
      </c>
      <c r="I15" s="5">
        <v>59.98</v>
      </c>
      <c r="J15" s="5">
        <v>0</v>
      </c>
      <c r="K15" s="5">
        <v>0</v>
      </c>
      <c r="L15" s="44">
        <f t="shared" si="8"/>
        <v>-76.07142698483867</v>
      </c>
      <c r="M15" s="5">
        <v>0</v>
      </c>
      <c r="N15" s="30">
        <f>IF(H15&lt;I15,(-10*G15)*(3*PARAMETERS!$E$4)^2/(H15-I15),"")</f>
        <v>-291.0064320005955</v>
      </c>
      <c r="O15" s="31">
        <f t="shared" si="0"/>
        <v>0</v>
      </c>
      <c r="P15" s="32">
        <f>IF(H15&gt;I15,(-10*G15)*(3*PARAMETERS!$E$4)^2/(H15-I15),"")</f>
      </c>
      <c r="Q15" s="31">
        <f t="shared" si="1"/>
        <v>0</v>
      </c>
      <c r="R15" s="33">
        <f>(2-(E15*F15)/(-10*G15*PARAMETERS!$E$4*PARAMETERS!$E$4))*100</f>
        <v>-143.51228458809538</v>
      </c>
      <c r="S15" s="33">
        <f t="shared" si="2"/>
        <v>-143.51228458809538</v>
      </c>
      <c r="T15" s="30">
        <f>PARAMETERS!$H$4</f>
        <v>-137.8166982599714</v>
      </c>
      <c r="U15" s="30">
        <f t="shared" si="3"/>
        <v>0</v>
      </c>
      <c r="V15" s="30">
        <f>PARAMETERS!$I$4</f>
        <v>137.8166982599714</v>
      </c>
      <c r="W15" s="30">
        <f t="shared" si="4"/>
        <v>0</v>
      </c>
      <c r="X15" s="34">
        <f t="shared" si="5"/>
        <v>0</v>
      </c>
      <c r="Y15" s="34">
        <f t="shared" si="6"/>
        <v>0</v>
      </c>
    </row>
    <row r="16" spans="1:25" ht="12.75">
      <c r="A16" s="5" t="s">
        <v>15</v>
      </c>
      <c r="B16" s="6">
        <v>38170</v>
      </c>
      <c r="C16" s="7">
        <v>0.00555555555555556</v>
      </c>
      <c r="D16" s="5" t="s">
        <v>14</v>
      </c>
      <c r="E16" s="5">
        <v>-115.18518347889032</v>
      </c>
      <c r="F16" s="5">
        <f t="shared" si="7"/>
        <v>-0.047499999999899956</v>
      </c>
      <c r="G16" s="5">
        <v>-311</v>
      </c>
      <c r="H16" s="5">
        <v>59.9325000000001</v>
      </c>
      <c r="I16" s="5">
        <v>59.98</v>
      </c>
      <c r="J16" s="5">
        <v>0</v>
      </c>
      <c r="K16" s="5">
        <v>0</v>
      </c>
      <c r="L16" s="44">
        <f t="shared" si="8"/>
        <v>-80.18518347889032</v>
      </c>
      <c r="M16" s="5">
        <v>0</v>
      </c>
      <c r="N16" s="30">
        <f>IF(H16&lt;I16,(-10*G16)*(3*PARAMETERS!$E$4)^2/(H16-I16),"")</f>
        <v>-306.3225600006452</v>
      </c>
      <c r="O16" s="31">
        <f t="shared" si="0"/>
        <v>0</v>
      </c>
      <c r="P16" s="32">
        <f>IF(H16&gt;I16,(-10*G16)*(3*PARAMETERS!$E$4)^2/(H16-I16),"")</f>
      </c>
      <c r="Q16" s="31">
        <f t="shared" si="1"/>
        <v>0</v>
      </c>
      <c r="R16" s="33">
        <f>(2-(E16*F16)/(-10*G16*PARAMETERS!$E$4*PARAMETERS!$E$4))*100</f>
        <v>-138.423213526235</v>
      </c>
      <c r="S16" s="33">
        <f t="shared" si="2"/>
        <v>-138.423213526235</v>
      </c>
      <c r="T16" s="30">
        <f>PARAMETERS!$H$4</f>
        <v>-137.8166982599714</v>
      </c>
      <c r="U16" s="30">
        <f t="shared" si="3"/>
        <v>0</v>
      </c>
      <c r="V16" s="30">
        <f>PARAMETERS!$I$4</f>
        <v>137.8166982599714</v>
      </c>
      <c r="W16" s="30">
        <f t="shared" si="4"/>
        <v>0</v>
      </c>
      <c r="X16" s="34">
        <f t="shared" si="5"/>
        <v>0</v>
      </c>
      <c r="Y16" s="34">
        <f t="shared" si="6"/>
        <v>0</v>
      </c>
    </row>
    <row r="17" spans="1:25" ht="12.75">
      <c r="A17" s="5" t="s">
        <v>15</v>
      </c>
      <c r="B17" s="6">
        <v>38170</v>
      </c>
      <c r="C17" s="7">
        <v>0.00625</v>
      </c>
      <c r="D17" s="5" t="s">
        <v>14</v>
      </c>
      <c r="E17" s="5">
        <v>-119.6153827753216</v>
      </c>
      <c r="F17" s="5">
        <f t="shared" si="7"/>
        <v>-0.044999999999895124</v>
      </c>
      <c r="G17" s="5">
        <v>-311</v>
      </c>
      <c r="H17" s="5">
        <v>59.9350000000001</v>
      </c>
      <c r="I17" s="5">
        <v>59.98</v>
      </c>
      <c r="J17" s="5">
        <v>0</v>
      </c>
      <c r="K17" s="5">
        <v>0</v>
      </c>
      <c r="L17" s="44">
        <f t="shared" si="8"/>
        <v>-84.6153827753216</v>
      </c>
      <c r="M17" s="5">
        <v>0</v>
      </c>
      <c r="N17" s="30">
        <f>IF(H17&lt;I17,(-10*G17)*(3*PARAMETERS!$E$4)^2/(H17-I17),"")</f>
        <v>-323.3404800007536</v>
      </c>
      <c r="O17" s="31">
        <f t="shared" si="0"/>
        <v>0</v>
      </c>
      <c r="P17" s="32">
        <f>IF(H17&gt;I17,(-10*G17)*(3*PARAMETERS!$E$4)^2/(H17-I17),"")</f>
      </c>
      <c r="Q17" s="31">
        <f t="shared" si="1"/>
        <v>0</v>
      </c>
      <c r="R17" s="33">
        <f>(2-(E17*F17)/(-10*G17*PARAMETERS!$E$4*PARAMETERS!$E$4))*100</f>
        <v>-132.9426754656223</v>
      </c>
      <c r="S17" s="33">
        <f t="shared" si="2"/>
        <v>-132.9426754656223</v>
      </c>
      <c r="T17" s="30">
        <f>PARAMETERS!$H$4</f>
        <v>-137.8166982599714</v>
      </c>
      <c r="U17" s="30">
        <f t="shared" si="3"/>
        <v>0</v>
      </c>
      <c r="V17" s="30">
        <f>PARAMETERS!$I$4</f>
        <v>137.8166982599714</v>
      </c>
      <c r="W17" s="30">
        <f t="shared" si="4"/>
        <v>0</v>
      </c>
      <c r="X17" s="34">
        <f t="shared" si="5"/>
        <v>0</v>
      </c>
      <c r="Y17" s="34">
        <f t="shared" si="6"/>
        <v>0</v>
      </c>
    </row>
    <row r="18" spans="1:25" ht="12.75">
      <c r="A18" s="5" t="s">
        <v>15</v>
      </c>
      <c r="B18" s="6">
        <v>38170</v>
      </c>
      <c r="C18" s="7">
        <v>0.00694444444444444</v>
      </c>
      <c r="D18" s="5" t="s">
        <v>14</v>
      </c>
      <c r="E18" s="5">
        <v>-124.3999980097839</v>
      </c>
      <c r="F18" s="5">
        <f t="shared" si="7"/>
        <v>-0.0424999999998974</v>
      </c>
      <c r="G18" s="5">
        <v>-311</v>
      </c>
      <c r="H18" s="5">
        <v>59.9375000000001</v>
      </c>
      <c r="I18" s="5">
        <v>59.98</v>
      </c>
      <c r="J18" s="5">
        <v>0</v>
      </c>
      <c r="K18" s="5">
        <v>0</v>
      </c>
      <c r="L18" s="44">
        <f t="shared" si="8"/>
        <v>-89.3999980097839</v>
      </c>
      <c r="M18" s="5">
        <v>0</v>
      </c>
      <c r="N18" s="30">
        <f>IF(H18&lt;I18,(-10*G18)*(3*PARAMETERS!$E$4)^2/(H18-I18),"")</f>
        <v>-342.36050823612067</v>
      </c>
      <c r="O18" s="31">
        <f t="shared" si="0"/>
        <v>0</v>
      </c>
      <c r="P18" s="32">
        <f>IF(H18&gt;I18,(-10*G18)*(3*PARAMETERS!$E$4)^2/(H18-I18),"")</f>
      </c>
      <c r="Q18" s="31">
        <f t="shared" si="1"/>
        <v>0</v>
      </c>
      <c r="R18" s="33">
        <f>(2-(E18*F18)/(-10*G18*PARAMETERS!$E$4*PARAMETERS!$E$4))*100</f>
        <v>-127.02369436719158</v>
      </c>
      <c r="S18" s="33">
        <f t="shared" si="2"/>
        <v>-127.02369436719158</v>
      </c>
      <c r="T18" s="30">
        <f>PARAMETERS!$H$4</f>
        <v>-137.8166982599714</v>
      </c>
      <c r="U18" s="30">
        <f t="shared" si="3"/>
        <v>0</v>
      </c>
      <c r="V18" s="30">
        <f>PARAMETERS!$I$4</f>
        <v>137.8166982599714</v>
      </c>
      <c r="W18" s="30">
        <f t="shared" si="4"/>
        <v>0</v>
      </c>
      <c r="X18" s="34">
        <f t="shared" si="5"/>
        <v>0</v>
      </c>
      <c r="Y18" s="34">
        <f t="shared" si="6"/>
        <v>0</v>
      </c>
    </row>
    <row r="19" spans="1:25" ht="12.75">
      <c r="A19" s="5" t="s">
        <v>15</v>
      </c>
      <c r="B19" s="6">
        <v>38170</v>
      </c>
      <c r="C19" s="7">
        <v>0.00763888888888889</v>
      </c>
      <c r="D19" s="5" t="s">
        <v>14</v>
      </c>
      <c r="E19" s="5">
        <v>-129.58333117380636</v>
      </c>
      <c r="F19" s="5">
        <f>+H19-I19</f>
        <v>-0.03999999999989967</v>
      </c>
      <c r="G19" s="5">
        <v>-311</v>
      </c>
      <c r="H19" s="5">
        <v>59.9400000000001</v>
      </c>
      <c r="I19" s="5">
        <v>59.98</v>
      </c>
      <c r="J19" s="5">
        <v>0</v>
      </c>
      <c r="K19" s="5">
        <v>0</v>
      </c>
      <c r="L19" s="44">
        <f t="shared" si="8"/>
        <v>-94.58333117380636</v>
      </c>
      <c r="M19" s="5">
        <v>0</v>
      </c>
      <c r="N19" s="30">
        <f>IF(H19&lt;I19,(-10*G19)*(3*PARAMETERS!$E$4)^2/(H19-I19),"")</f>
        <v>-363.7580400009124</v>
      </c>
      <c r="O19" s="31">
        <f t="shared" si="0"/>
        <v>0</v>
      </c>
      <c r="P19" s="32">
        <f>IF(H19&gt;I19,(-10*G19)*(3*PARAMETERS!$E$4)^2/(H19-I19),"")</f>
      </c>
      <c r="Q19" s="31">
        <f t="shared" si="1"/>
        <v>0</v>
      </c>
      <c r="R19" s="33">
        <f>(2-(E19*F19)/(-10*G19*PARAMETERS!$E$4*PARAMETERS!$E$4))*100</f>
        <v>-120.61146485211212</v>
      </c>
      <c r="S19" s="33">
        <f t="shared" si="2"/>
        <v>-120.61146485211212</v>
      </c>
      <c r="T19" s="30">
        <f>PARAMETERS!$H$4</f>
        <v>-137.8166982599714</v>
      </c>
      <c r="U19" s="30">
        <f t="shared" si="3"/>
        <v>0</v>
      </c>
      <c r="V19" s="30">
        <f>PARAMETERS!$I$4</f>
        <v>137.8166982599714</v>
      </c>
      <c r="W19" s="30">
        <f t="shared" si="4"/>
        <v>0</v>
      </c>
      <c r="X19" s="34">
        <f t="shared" si="5"/>
        <v>0</v>
      </c>
      <c r="Y19" s="34">
        <f t="shared" si="6"/>
        <v>0</v>
      </c>
    </row>
    <row r="20" spans="1:25" ht="12.75">
      <c r="A20" s="5"/>
      <c r="B20" s="5"/>
      <c r="C20" s="5"/>
      <c r="D20" s="5"/>
      <c r="E20" s="5"/>
      <c r="F20" s="5"/>
      <c r="G20" s="5"/>
      <c r="H20" s="5"/>
      <c r="I20" s="5"/>
      <c r="J20" s="5"/>
      <c r="K20" s="5"/>
      <c r="L20" s="44"/>
      <c r="M20" s="5"/>
      <c r="N20" s="30"/>
      <c r="O20" s="34"/>
      <c r="P20" s="34"/>
      <c r="Q20" s="34"/>
      <c r="R20" s="34"/>
      <c r="S20" s="34"/>
      <c r="T20" s="35"/>
      <c r="U20" s="35"/>
      <c r="V20" s="34"/>
      <c r="W20" s="34"/>
      <c r="X20" s="34"/>
      <c r="Y20" s="34"/>
    </row>
    <row r="21" spans="1:25" ht="12.75">
      <c r="A21" s="5"/>
      <c r="B21" s="5"/>
      <c r="C21" s="5"/>
      <c r="D21" s="5"/>
      <c r="E21" s="5"/>
      <c r="F21" s="5"/>
      <c r="G21" s="5"/>
      <c r="H21" s="5"/>
      <c r="I21" s="5"/>
      <c r="J21" s="5"/>
      <c r="K21" s="5"/>
      <c r="L21" s="44"/>
      <c r="M21" s="5"/>
      <c r="N21" s="35"/>
      <c r="O21" s="34"/>
      <c r="P21" s="34"/>
      <c r="Q21" s="34"/>
      <c r="R21" s="34"/>
      <c r="S21" s="34"/>
      <c r="T21" s="35"/>
      <c r="U21" s="35"/>
      <c r="V21" s="34"/>
      <c r="W21" s="34"/>
      <c r="X21" s="34"/>
      <c r="Y21" s="34"/>
    </row>
    <row r="22" spans="1:25" ht="12.75">
      <c r="A22" s="5"/>
      <c r="B22" s="8" t="s">
        <v>19</v>
      </c>
      <c r="C22" s="5"/>
      <c r="D22" s="5"/>
      <c r="E22" s="5"/>
      <c r="F22" s="5"/>
      <c r="G22" s="5"/>
      <c r="H22" s="5"/>
      <c r="I22" s="5"/>
      <c r="J22" s="5"/>
      <c r="K22" s="5"/>
      <c r="L22" s="44"/>
      <c r="M22" s="5"/>
      <c r="N22" s="35"/>
      <c r="O22" s="31" t="s">
        <v>20</v>
      </c>
      <c r="P22" s="34"/>
      <c r="Q22" s="34"/>
      <c r="R22" s="34"/>
      <c r="S22" s="34"/>
      <c r="T22" s="35"/>
      <c r="U22" s="35"/>
      <c r="V22" s="34"/>
      <c r="W22" s="34"/>
      <c r="X22" s="34"/>
      <c r="Y22" s="34"/>
    </row>
    <row r="23" spans="1:25" ht="12.75">
      <c r="A23" s="5"/>
      <c r="B23" s="5"/>
      <c r="C23" s="5"/>
      <c r="D23" s="5"/>
      <c r="E23" s="5"/>
      <c r="F23" s="5"/>
      <c r="G23" s="5"/>
      <c r="H23" s="5"/>
      <c r="I23" s="5"/>
      <c r="J23" s="5"/>
      <c r="K23" s="5"/>
      <c r="L23" s="44"/>
      <c r="M23" s="5"/>
      <c r="N23" s="35"/>
      <c r="O23" s="34"/>
      <c r="P23" s="34"/>
      <c r="Q23" s="34"/>
      <c r="R23" s="34"/>
      <c r="S23" s="34"/>
      <c r="T23" s="35"/>
      <c r="U23" s="35"/>
      <c r="V23" s="34"/>
      <c r="W23" s="34"/>
      <c r="X23" s="34"/>
      <c r="Y23" s="34"/>
    </row>
    <row r="24" spans="1:25" ht="12.75">
      <c r="A24" s="5"/>
      <c r="B24" s="5"/>
      <c r="C24" s="5"/>
      <c r="D24" s="5"/>
      <c r="E24" s="5"/>
      <c r="F24" s="5"/>
      <c r="G24" s="5"/>
      <c r="H24" s="5"/>
      <c r="I24" s="5"/>
      <c r="J24" s="5"/>
      <c r="K24" s="5"/>
      <c r="L24" s="44"/>
      <c r="M24" s="5"/>
      <c r="N24" s="35"/>
      <c r="O24" s="34"/>
      <c r="P24" s="34"/>
      <c r="Q24" s="34"/>
      <c r="R24" s="34"/>
      <c r="S24" s="34"/>
      <c r="T24" s="35"/>
      <c r="U24" s="35"/>
      <c r="V24" s="34"/>
      <c r="W24" s="34"/>
      <c r="X24" s="34"/>
      <c r="Y24" s="34"/>
    </row>
    <row r="25" spans="1:25" ht="12.75">
      <c r="A25" s="5"/>
      <c r="B25" s="5"/>
      <c r="C25" s="5"/>
      <c r="D25" s="5"/>
      <c r="E25" s="5"/>
      <c r="F25" s="5"/>
      <c r="G25" s="5"/>
      <c r="H25" s="5"/>
      <c r="I25" s="5"/>
      <c r="J25" s="5"/>
      <c r="K25" s="5"/>
      <c r="L25" s="44"/>
      <c r="M25" s="5"/>
      <c r="N25" s="35"/>
      <c r="O25" s="34"/>
      <c r="P25" s="34"/>
      <c r="Q25" s="34"/>
      <c r="R25" s="34"/>
      <c r="S25" s="34"/>
      <c r="T25" s="35"/>
      <c r="U25" s="35"/>
      <c r="V25" s="34"/>
      <c r="W25" s="34"/>
      <c r="X25" s="34"/>
      <c r="Y25" s="34"/>
    </row>
  </sheetData>
  <sheetProtection sheet="1" objects="1" scenarios="1"/>
  <printOptions/>
  <pageMargins left="0.25" right="0.25" top="0.75" bottom="0.75" header="0.25" footer="0.5"/>
  <pageSetup fitToHeight="1" fitToWidth="1" horizontalDpi="600" verticalDpi="600" orientation="landscape" scale="62"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heet="1" objects="1" scenarios="1"/>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Wendy Muller</dc:creator>
  <cp:keywords/>
  <dc:description/>
  <cp:lastModifiedBy>Wendy Muller</cp:lastModifiedBy>
  <cp:lastPrinted>2009-07-31T18:00:24Z</cp:lastPrinted>
  <dcterms:created xsi:type="dcterms:W3CDTF">2005-02-02T14:13:12Z</dcterms:created>
  <dcterms:modified xsi:type="dcterms:W3CDTF">2016-07-28T18:16:37Z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NERCASSETID-650-118</vt:lpwstr>
  </property>
  <property fmtid="{D5CDD505-2E9C-101B-9397-08002B2CF9AE}" pid="4" name="_dlc_DocIdItemGu">
    <vt:lpwstr>af6a1084-a527-4b6a-84a3-6f794b88eb86</vt:lpwstr>
  </property>
  <property fmtid="{D5CDD505-2E9C-101B-9397-08002B2CF9AE}" pid="5" name="_dlc_DocIdU">
    <vt:lpwstr>http://www.qa.nerc.com/pa/Stand/_layouts/DocIdRedir.aspx?ID=NERCASSETID-650-118, NERCASSETID-650-118</vt:lpwstr>
  </property>
  <property fmtid="{D5CDD505-2E9C-101B-9397-08002B2CF9AE}" pid="6" name="display_urn:schemas-microsoft-com:office:office#Edit">
    <vt:lpwstr>qa\mullerw</vt:lpwstr>
  </property>
  <property fmtid="{D5CDD505-2E9C-101B-9397-08002B2CF9AE}" pid="7" name="display_urn:schemas-microsoft-com:office:office#Auth">
    <vt:lpwstr>qa\mullerw</vt:lpwstr>
  </property>
</Properties>
</file>